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YVC - Financial Accounting A/2025B/"/>
    </mc:Choice>
  </mc:AlternateContent>
  <xr:revisionPtr revIDLastSave="0" documentId="8_{69859D4E-9C66-F843-B457-773F9E79B305}" xr6:coauthVersionLast="47" xr6:coauthVersionMax="47" xr10:uidLastSave="{00000000-0000-0000-0000-000000000000}"/>
  <bookViews>
    <workbookView xWindow="0" yWindow="620" windowWidth="38080" windowHeight="23180" activeTab="2" xr2:uid="{2E1AE363-F32F-44ED-9550-FDB75201FD00}"/>
  </bookViews>
  <sheets>
    <sheet name="7" sheetId="2" r:id="rId1"/>
    <sheet name="8" sheetId="3" r:id="rId2"/>
    <sheet name="9" sheetId="4" r:id="rId3"/>
    <sheet name="10" sheetId="5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84" i="4" l="1"/>
  <c r="F83" i="4"/>
  <c r="D83" i="4"/>
  <c r="C85" i="4"/>
  <c r="C84" i="4"/>
  <c r="C83" i="4"/>
  <c r="D64" i="4"/>
  <c r="K164" i="5"/>
  <c r="B161" i="5"/>
  <c r="J161" i="5" s="1"/>
  <c r="N171" i="5" s="1"/>
  <c r="J169" i="5"/>
  <c r="N176" i="5" s="1"/>
  <c r="L164" i="5" l="1"/>
  <c r="M164" i="5" s="1"/>
  <c r="O164" i="5" s="1"/>
  <c r="B162" i="5"/>
  <c r="J162" i="5" s="1"/>
  <c r="N172" i="5" s="1"/>
  <c r="N174" i="5" s="1"/>
  <c r="B163" i="5"/>
  <c r="J163" i="5" s="1"/>
  <c r="N173" i="5" s="1"/>
  <c r="B164" i="5"/>
  <c r="J164" i="5" s="1"/>
  <c r="B143" i="5"/>
  <c r="B123" i="5"/>
  <c r="B125" i="5"/>
  <c r="B124" i="5"/>
  <c r="B122" i="5"/>
  <c r="B116" i="5"/>
  <c r="B114" i="5"/>
  <c r="B96" i="5"/>
  <c r="B63" i="5"/>
  <c r="B62" i="5"/>
  <c r="B61" i="5"/>
  <c r="B72" i="5" s="1"/>
  <c r="E190" i="4"/>
  <c r="E191" i="4"/>
  <c r="E189" i="4"/>
  <c r="D188" i="4"/>
  <c r="D180" i="4"/>
  <c r="C162" i="4"/>
  <c r="C161" i="4"/>
  <c r="E153" i="4"/>
  <c r="D122" i="4"/>
  <c r="E120" i="4" s="1"/>
  <c r="F120" i="4" s="1"/>
  <c r="D110" i="4"/>
  <c r="D34" i="3"/>
  <c r="C29" i="2"/>
  <c r="B11" i="5"/>
  <c r="B266" i="4"/>
  <c r="B268" i="4" s="1"/>
  <c r="C265" i="4"/>
  <c r="C264" i="4"/>
  <c r="B160" i="4"/>
  <c r="B163" i="4" s="1"/>
  <c r="C146" i="4"/>
  <c r="C92" i="4"/>
  <c r="B86" i="4"/>
  <c r="B89" i="4" s="1"/>
  <c r="G83" i="4"/>
  <c r="C50" i="4"/>
  <c r="C39" i="4"/>
  <c r="D23" i="4"/>
  <c r="D45" i="3"/>
  <c r="D46" i="3" s="1"/>
  <c r="D41" i="3"/>
  <c r="D36" i="3"/>
  <c r="D32" i="3"/>
  <c r="D28" i="2"/>
  <c r="F19" i="2"/>
  <c r="F21" i="2" s="1"/>
  <c r="D27" i="2" s="1"/>
  <c r="D29" i="2" s="1"/>
  <c r="G188" i="4" l="1"/>
  <c r="D192" i="4"/>
  <c r="D195" i="4" s="1"/>
  <c r="F190" i="4" s="1"/>
  <c r="G190" i="4" s="1"/>
  <c r="E192" i="4"/>
  <c r="D48" i="3"/>
  <c r="L165" i="5"/>
  <c r="B118" i="5"/>
  <c r="B132" i="5" s="1"/>
  <c r="J165" i="5"/>
  <c r="B165" i="5"/>
  <c r="B169" i="5" s="1"/>
  <c r="C110" i="5"/>
  <c r="C112" i="5"/>
  <c r="D112" i="5" s="1"/>
  <c r="C124" i="5" s="1"/>
  <c r="C111" i="5"/>
  <c r="D111" i="5" s="1"/>
  <c r="C123" i="5" s="1"/>
  <c r="B126" i="5"/>
  <c r="B130" i="5" s="1"/>
  <c r="B134" i="5" s="1"/>
  <c r="B64" i="5"/>
  <c r="B66" i="5" s="1"/>
  <c r="F191" i="4"/>
  <c r="G191" i="4" s="1"/>
  <c r="F189" i="4"/>
  <c r="B165" i="4"/>
  <c r="D161" i="4" s="1"/>
  <c r="E161" i="4" s="1"/>
  <c r="E119" i="4"/>
  <c r="F119" i="4" s="1"/>
  <c r="E118" i="4"/>
  <c r="F118" i="4" s="1"/>
  <c r="E121" i="4"/>
  <c r="D162" i="4"/>
  <c r="E162" i="4" s="1"/>
  <c r="C49" i="4"/>
  <c r="D84" i="4"/>
  <c r="E84" i="4" s="1"/>
  <c r="D160" i="4"/>
  <c r="D263" i="4"/>
  <c r="D85" i="4"/>
  <c r="E85" i="4" s="1"/>
  <c r="B13" i="5"/>
  <c r="B67" i="5" s="1"/>
  <c r="B68" i="5" s="1"/>
  <c r="F55" i="5" s="1"/>
  <c r="C164" i="5" l="1"/>
  <c r="C163" i="5"/>
  <c r="D163" i="5" s="1"/>
  <c r="C162" i="5"/>
  <c r="D162" i="5" s="1"/>
  <c r="C161" i="5"/>
  <c r="C113" i="5"/>
  <c r="D113" i="5" s="1"/>
  <c r="C125" i="5" s="1"/>
  <c r="C165" i="5"/>
  <c r="D164" i="5"/>
  <c r="E164" i="5" s="1"/>
  <c r="D110" i="5"/>
  <c r="C9" i="5"/>
  <c r="D9" i="5" s="1"/>
  <c r="C8" i="5"/>
  <c r="D8" i="5" s="1"/>
  <c r="C19" i="5" s="1"/>
  <c r="E8" i="5" s="1"/>
  <c r="C10" i="5"/>
  <c r="D10" i="5" s="1"/>
  <c r="F192" i="4"/>
  <c r="G189" i="4"/>
  <c r="G192" i="4" s="1"/>
  <c r="D265" i="4"/>
  <c r="E265" i="4" s="1"/>
  <c r="D264" i="4"/>
  <c r="E264" i="4" s="1"/>
  <c r="E125" i="4"/>
  <c r="E130" i="4" s="1"/>
  <c r="G118" i="4" s="1"/>
  <c r="E122" i="4"/>
  <c r="F121" i="4"/>
  <c r="D163" i="4"/>
  <c r="E160" i="4"/>
  <c r="E163" i="4" s="1"/>
  <c r="E83" i="4"/>
  <c r="D86" i="4"/>
  <c r="E263" i="4"/>
  <c r="D161" i="5" l="1"/>
  <c r="E162" i="5" s="1"/>
  <c r="F162" i="5" s="1"/>
  <c r="C114" i="5"/>
  <c r="C122" i="5"/>
  <c r="D114" i="5"/>
  <c r="E9" i="5"/>
  <c r="F9" i="5" s="1"/>
  <c r="C62" i="5" s="1"/>
  <c r="D266" i="4"/>
  <c r="E266" i="4"/>
  <c r="F122" i="4"/>
  <c r="F133" i="4"/>
  <c r="G120" i="4" s="1"/>
  <c r="H120" i="4" s="1"/>
  <c r="H118" i="4"/>
  <c r="E10" i="5"/>
  <c r="F10" i="5" s="1"/>
  <c r="C63" i="5" s="1"/>
  <c r="E86" i="4"/>
  <c r="C96" i="4"/>
  <c r="C11" i="5"/>
  <c r="D11" i="5" s="1"/>
  <c r="F8" i="5"/>
  <c r="C61" i="5" s="1"/>
  <c r="K162" i="5" l="1"/>
  <c r="M162" i="5" s="1"/>
  <c r="E163" i="5"/>
  <c r="F163" i="5" s="1"/>
  <c r="E161" i="5"/>
  <c r="N179" i="5" s="1"/>
  <c r="D165" i="5"/>
  <c r="F161" i="5"/>
  <c r="K161" i="5" s="1"/>
  <c r="E165" i="5"/>
  <c r="C126" i="5"/>
  <c r="G119" i="4"/>
  <c r="G121" i="4"/>
  <c r="H121" i="4" s="1"/>
  <c r="G84" i="4"/>
  <c r="F85" i="4"/>
  <c r="G85" i="4" s="1"/>
  <c r="C64" i="5"/>
  <c r="D63" i="5" s="1"/>
  <c r="E11" i="5"/>
  <c r="F11" i="5" s="1"/>
  <c r="K163" i="5" l="1"/>
  <c r="M163" i="5" s="1"/>
  <c r="K165" i="5"/>
  <c r="M161" i="5"/>
  <c r="N161" i="5" s="1"/>
  <c r="F165" i="5"/>
  <c r="D123" i="5"/>
  <c r="E123" i="5" s="1"/>
  <c r="D125" i="5"/>
  <c r="E125" i="5" s="1"/>
  <c r="D124" i="5"/>
  <c r="E124" i="5" s="1"/>
  <c r="D122" i="5"/>
  <c r="D62" i="5"/>
  <c r="E62" i="5" s="1"/>
  <c r="E72" i="5" s="1"/>
  <c r="D61" i="5"/>
  <c r="E61" i="5" s="1"/>
  <c r="E63" i="5"/>
  <c r="E73" i="5" s="1"/>
  <c r="H119" i="4"/>
  <c r="H122" i="4" s="1"/>
  <c r="G122" i="4"/>
  <c r="G86" i="4"/>
  <c r="F86" i="4"/>
  <c r="M165" i="5" l="1"/>
  <c r="N162" i="5"/>
  <c r="O162" i="5" s="1"/>
  <c r="N163" i="5"/>
  <c r="O163" i="5" s="1"/>
  <c r="D126" i="5"/>
  <c r="E122" i="5"/>
  <c r="E126" i="5"/>
  <c r="E64" i="5"/>
  <c r="F61" i="5"/>
  <c r="D64" i="5"/>
  <c r="N165" i="5" l="1"/>
  <c r="O161" i="5"/>
  <c r="O165" i="5" s="1"/>
  <c r="F62" i="5"/>
  <c r="G62" i="5" s="1"/>
  <c r="F63" i="5"/>
  <c r="G63" i="5" s="1"/>
  <c r="B71" i="5"/>
  <c r="E71" i="5"/>
  <c r="F64" i="5" l="1"/>
  <c r="E76" i="5"/>
  <c r="E75" i="5"/>
  <c r="G64" i="5" l="1"/>
</calcChain>
</file>

<file path=xl/sharedStrings.xml><?xml version="1.0" encoding="utf-8"?>
<sst xmlns="http://schemas.openxmlformats.org/spreadsheetml/2006/main" count="540" uniqueCount="396">
  <si>
    <t xml:space="preserve">בר השבה </t>
  </si>
  <si>
    <t>ירידת ערך</t>
  </si>
  <si>
    <t>31.12.2026</t>
  </si>
  <si>
    <t>מכונה</t>
  </si>
  <si>
    <t>מלאי</t>
  </si>
  <si>
    <t>ויש שתי אפשרויות:</t>
  </si>
  <si>
    <t>הערך הפנקסני (רק של הנכס)</t>
  </si>
  <si>
    <t>שווי הוגן בניכוי עלויות מימוש (בסיס ברוטו)</t>
  </si>
  <si>
    <t>ירידת ערך :</t>
  </si>
  <si>
    <t xml:space="preserve">התחייבות </t>
  </si>
  <si>
    <t xml:space="preserve">שווי הוגן על בסיס נטו בניכוי עלויות מימוש </t>
  </si>
  <si>
    <r>
      <rPr>
        <b/>
        <sz val="12"/>
        <color theme="1"/>
        <rFont val="David"/>
        <family val="2"/>
      </rPr>
      <t>רעיון מרכזי:</t>
    </r>
    <r>
      <rPr>
        <sz val="12"/>
        <color theme="1"/>
        <rFont val="David"/>
        <family val="2"/>
      </rPr>
      <t xml:space="preserve"> הקצאת ירידת ערך תהה לפי פורפורציה של ערף פנקסני, תוך תשומת לב למגבלות </t>
    </r>
  </si>
  <si>
    <t>מקרה א</t>
  </si>
  <si>
    <t xml:space="preserve">הערך הפנקסני של כל היחידה </t>
  </si>
  <si>
    <t xml:space="preserve">סכום בר השבה </t>
  </si>
  <si>
    <t xml:space="preserve">נתון </t>
  </si>
  <si>
    <t xml:space="preserve">ירידת ערך </t>
  </si>
  <si>
    <t>אין ירידת ערך ליחידה, וזה אומר שאין ירידת ערך לאף אחד מהמרכיבים המרכיבים אותה</t>
  </si>
  <si>
    <t>מקרה ב</t>
  </si>
  <si>
    <t>עלות מופחתת</t>
  </si>
  <si>
    <t xml:space="preserve">עלות מופחתת של היחידה </t>
  </si>
  <si>
    <t>אין ירידת ערך ליחידה, שימו לב שמה שמיוחד פה, שלמרות שליחידה אין ירידת ערך לנכס א' יש כי ניתן לחשב לו סכום בר השבה עצמאי.</t>
  </si>
  <si>
    <t xml:space="preserve">ערך פנקסני של היחידה </t>
  </si>
  <si>
    <t xml:space="preserve">לאחר ירידת ערך </t>
  </si>
  <si>
    <t xml:space="preserve">לאחר </t>
  </si>
  <si>
    <t>נכס א'</t>
  </si>
  <si>
    <t>נכס ב'</t>
  </si>
  <si>
    <t>נכס ג'</t>
  </si>
  <si>
    <t>כעת בדיקת מגבלות:</t>
  </si>
  <si>
    <t>עלות מופחתת נכס א'</t>
  </si>
  <si>
    <t xml:space="preserve">הליך ההקצאה מדמה שווי שימוש, ובגלל שהשווי שימוש יותר נמוך מהשווי ההוגן, אז צריך להעמיד את הנכס על השווי שימוש על חשבון נכסים אחרים </t>
  </si>
  <si>
    <t>שווי הוגן בניכוי עלויות מימוש</t>
  </si>
  <si>
    <t xml:space="preserve">הליך ההקצאה-שווי שימוש </t>
  </si>
  <si>
    <t>יש להגדיל את נכס א' ל160,000</t>
  </si>
  <si>
    <t xml:space="preserve">על חשבון הנכסים האחרים </t>
  </si>
  <si>
    <t>נדרש ד</t>
  </si>
  <si>
    <t xml:space="preserve">מכונה א' ניזוקה והיא מיועדת למכירה בטווח המיידי לכן ניתן לחשב לה סכום בר השבה עצמאי </t>
  </si>
  <si>
    <t xml:space="preserve">נתחילה במכונה א' </t>
  </si>
  <si>
    <t xml:space="preserve">אם העמדתי נכס לפי הסכום בר השבה שלו, נגמר אני לא אוריד לו עוד סכום בגלל הירידת ערך של היחידה כולה, אני אוריד מהנכסים האחרים </t>
  </si>
  <si>
    <t xml:space="preserve">אני לא מקצה לנכס א' כי הוא עומד על ההסכום בר השבה שלו </t>
  </si>
  <si>
    <t>אין בדיקת מגבלה.</t>
  </si>
  <si>
    <t>נדרש ה</t>
  </si>
  <si>
    <t xml:space="preserve">מה שמאפיין את המקרה הזה הוא שבגין מכונה א', בטוח אין ירידת ערך מכיוון שהשווי ההוגן בניכוי עלויות מימוש שלה </t>
  </si>
  <si>
    <t>יותר גבוה מהעלות המופחתת שלה</t>
  </si>
  <si>
    <t>הדגש הוא שירידת הערך תהיה בגין נכסים ב' וג'.</t>
  </si>
  <si>
    <r>
      <rPr>
        <b/>
        <sz val="12"/>
        <color theme="1"/>
        <rFont val="David"/>
        <family val="2"/>
      </rPr>
      <t xml:space="preserve">רעיון מרכזי: </t>
    </r>
    <r>
      <rPr>
        <sz val="12"/>
        <color theme="1"/>
        <rFont val="David"/>
        <family val="2"/>
      </rPr>
      <t xml:space="preserve"> תוקצה לפי פרופורציה של ערך פנקסני תוך הקפדה על בדיקת מגבלות </t>
    </r>
  </si>
  <si>
    <t>הקצאה</t>
  </si>
  <si>
    <t>לאחר</t>
  </si>
  <si>
    <t>חוזרת</t>
  </si>
  <si>
    <t xml:space="preserve">נכס א' </t>
  </si>
  <si>
    <t>סכום בר השבה</t>
  </si>
  <si>
    <t>בדיקת מגבלות</t>
  </si>
  <si>
    <t xml:space="preserve">אני צריכה להגדיל את נכס א' על חשבון הנכסים האחרים ביחידה </t>
  </si>
  <si>
    <t xml:space="preserve">שווי שימוש-לפי ההקצאה </t>
  </si>
  <si>
    <t>עלות מופחתת מקורית</t>
  </si>
  <si>
    <t>בסיס הקצאה</t>
  </si>
  <si>
    <t xml:space="preserve">אחרי הקצאה </t>
  </si>
  <si>
    <t xml:space="preserve">הקצאה-שווי שימוש </t>
  </si>
  <si>
    <t>גבוה מ120,000 לכן נבדוק מגבלות</t>
  </si>
  <si>
    <t xml:space="preserve">עלות מופחתת מקורית </t>
  </si>
  <si>
    <t>אין בעיה, נמוך מ80,000</t>
  </si>
  <si>
    <t>שווי הוגן נטו</t>
  </si>
  <si>
    <t>אין בעיה, נמוך מ40,000</t>
  </si>
  <si>
    <t xml:space="preserve">לאחר שינוי </t>
  </si>
  <si>
    <t>הקצאה חוזרת</t>
  </si>
  <si>
    <t xml:space="preserve">פתרון שאלה 7 - קובץ CGU </t>
  </si>
  <si>
    <r>
      <rPr>
        <b/>
        <sz val="12"/>
        <color theme="1"/>
        <rFont val="David"/>
        <family val="2"/>
      </rPr>
      <t>רעיון מרכזי:</t>
    </r>
    <r>
      <rPr>
        <sz val="12"/>
        <color theme="1"/>
        <rFont val="David"/>
        <family val="2"/>
      </rPr>
      <t xml:space="preserve"> ירידת הערך שנובעת כתוצאה מירידה בסכום בר ההשבה של יחידה מניבת מזומנים - תיוחס אך ורק לנכסים שהם בתחולת התקן IAS 36 </t>
    </r>
  </si>
  <si>
    <t>ספציפית - לא יבוצע ייחוס של ירידת ערך למלאי, שנמדד במסגרת IAS 2</t>
  </si>
  <si>
    <t>הערך בספרים - הנתון של היחידה מניבת המזומנים כולה</t>
  </si>
  <si>
    <t>הסכום בר ההשבה  - הנתון - של היחידה מניבת המזומנים כולה</t>
  </si>
  <si>
    <t>לפני י״ע</t>
  </si>
  <si>
    <t>אחרי י״ע</t>
  </si>
  <si>
    <t>שאלה 8</t>
  </si>
  <si>
    <t>חישוב הסכום בר ההשבה (רק של הנכס):</t>
  </si>
  <si>
    <t xml:space="preserve">130,000 + 40,000 = </t>
  </si>
  <si>
    <t>שווי הוגן ע״ב נטו = לאחר ניכוי עלויות שיקום</t>
  </si>
  <si>
    <t>סב״ה - הגבוה מבין השניים</t>
  </si>
  <si>
    <t xml:space="preserve">200,000 - 190,000 = </t>
  </si>
  <si>
    <r>
      <rPr>
        <b/>
        <u/>
        <sz val="12"/>
        <color theme="1"/>
        <rFont val="David"/>
        <family val="2"/>
        <charset val="177"/>
      </rPr>
      <t>אפשרות ראשונה</t>
    </r>
    <r>
      <rPr>
        <b/>
        <sz val="12"/>
        <color theme="1"/>
        <rFont val="David"/>
        <family val="2"/>
        <charset val="177"/>
      </rPr>
      <t xml:space="preserve"> -לנטרל את ההפרשה מהחישובים </t>
    </r>
  </si>
  <si>
    <t>ערך הנכס נטו לאחר יציאה כספית לשיקום</t>
  </si>
  <si>
    <t>חישוב סכום בר השבה - על בסיס נטו:</t>
  </si>
  <si>
    <t>נתון</t>
  </si>
  <si>
    <t>שווי שימוש בניכוי עלויות שיקום</t>
  </si>
  <si>
    <t xml:space="preserve">190,000 - 40,000 = </t>
  </si>
  <si>
    <t>סה״כ סב״ה</t>
  </si>
  <si>
    <t>ירידת הערך</t>
  </si>
  <si>
    <t xml:space="preserve">160,000 - 150,000 = </t>
  </si>
  <si>
    <t>בכל מקרה</t>
  </si>
  <si>
    <t>את הירידה נייחס</t>
  </si>
  <si>
    <t>רק לנכס</t>
  </si>
  <si>
    <t>ולא להתחייבות</t>
  </si>
  <si>
    <t>עלות מופחתת - מכונה א׳</t>
  </si>
  <si>
    <t>סכום בר השבה - מכונה א׳</t>
  </si>
  <si>
    <t xml:space="preserve">400,000 - 40,000 = </t>
  </si>
  <si>
    <t>חשוב מאד: היכולת לבצע ירידת ערך נפרדת לפריט א בלבד למרות שהוא חלק מיחידה מניבת מזומנים - נובע אך ורק מהכוונה</t>
  </si>
  <si>
    <t>למכור אותו בקרוב. כוונה זו מובילה לכך שהתזרים הצפוי מהפריט הוא מחיר מכירתו הצפוי. ולכן, הסב״ה של הפריט (פריט א)</t>
  </si>
  <si>
    <t>במקרה זה ניתן לאמידה מהימנה באופן עצמאי ומנותק מיתר רכיבי היחידה, מה שגרם להתחשבות בו בנפרד ולא רק ביחידה.</t>
  </si>
  <si>
    <t>סה״כ</t>
  </si>
  <si>
    <t>חלק יחסי</t>
  </si>
  <si>
    <t>הרחבה / תרגול נוסף לבדיקת הבנה כיתתית - ביצוע הקצאות חוזרות לירידת ערך של יחידה מניבת מזומנים</t>
  </si>
  <si>
    <t>בחברת ״עאדל נקניקים״ מחזיקים בכמה מכונות חימום נקניק שעובדות יחד, בלתי ניתנות להפרדה, ותזרימי</t>
  </si>
  <si>
    <t xml:space="preserve">המזומנים מהן תלויים זה בזה. </t>
  </si>
  <si>
    <t>להלן נתונים לגבי ערך הספרים (העלות המופחתת) של המכונות השונות ליום 31/12/2024 (אלפי ש״ח):</t>
  </si>
  <si>
    <t>מכונת טחינת פופיקים</t>
  </si>
  <si>
    <t>מכונת תיבול כרבולות</t>
  </si>
  <si>
    <t>מכונת עטיפת מעיים</t>
  </si>
  <si>
    <t>מכונת ניקוי קקי מהגגות</t>
  </si>
  <si>
    <t>ידוע כי הסכום בר ההשבה של היחידה מניבת המזומנים ליום זה הוא 320 אלפי ש״ח - בדיקת הסב״ה בוצעה</t>
  </si>
  <si>
    <t>לאור קקי גדול שהתגלה במכונה.</t>
  </si>
  <si>
    <t>בהנחה שידוע שהשווי ההוגן של מכונת טחינת הפופיקים הוא 195 אלפי ש״ח (ואין כוונה למכור אותה)</t>
  </si>
  <si>
    <t>חשבו את סך ירידת הערך ואת אופן הקצאתה בין רכיבי היחידה מניבת המזומנים.</t>
  </si>
  <si>
    <t>תדריך מקוצר:</t>
  </si>
  <si>
    <t>לאור העובדה שאין כוונה למכור את מכונת</t>
  </si>
  <si>
    <t>טחינת הפופיקים, ידיעת שוויה ההוגן</t>
  </si>
  <si>
    <t xml:space="preserve">לא תוביל להקצאת ירידת ערך בנפרד </t>
  </si>
  <si>
    <t>בגינה - בשלב ראשון.</t>
  </si>
  <si>
    <t>מה שכן נעשה, זה לחשב את ירידת הערך</t>
  </si>
  <si>
    <t>הכוללת, וקודם כל, להקצות אותה בין</t>
  </si>
  <si>
    <t xml:space="preserve">הרכיבים של היחידה מניבת המזומנים - </t>
  </si>
  <si>
    <t>המכונות השונות - לפי יחס העלות המופחתת</t>
  </si>
  <si>
    <t xml:space="preserve">לפני הירידה. </t>
  </si>
  <si>
    <t>לאחר מכן, עלינו לוודא שבמידה וישנה</t>
  </si>
  <si>
    <t xml:space="preserve">מכונה ספציפית שניתן להעריך את שוויה - </t>
  </si>
  <si>
    <t xml:space="preserve">שהיא לא תרד אל מתחת לשווי זה </t>
  </si>
  <si>
    <t>במסגרת הקצאת הירידה. ככל שקיימת</t>
  </si>
  <si>
    <t xml:space="preserve">ירידה מעבר, יש לתקנה על ידי הקצאה </t>
  </si>
  <si>
    <t>חוזרת.</t>
  </si>
  <si>
    <t>הקצאת י״ע</t>
  </si>
  <si>
    <t>לאחר הקצאה ראשונית של י״ע למכונת פופיק:</t>
  </si>
  <si>
    <t xml:space="preserve">200 - 116.883 = </t>
  </si>
  <si>
    <t>אך השווי ההוגן שלה 195!</t>
  </si>
  <si>
    <t>עלינו לבטל ירידת ערך, בגובה ההפרש:</t>
  </si>
  <si>
    <t xml:space="preserve">195 - 83.117 = </t>
  </si>
  <si>
    <t>סך י״ע לפריטים האחרים שלהם הוקצתה י״ע (בצהוב):</t>
  </si>
  <si>
    <t>ירידת הערך שצריך להקצות מחדש בסך 111.883 תוקצה לכל פריט לפי היחס בין ירידת הערך הראשונית</t>
  </si>
  <si>
    <t>שלו לבין סך ההקצאה לפריטים האחרים (סך הצהובים).</t>
  </si>
  <si>
    <t>ירידת ערך  - מכונה א</t>
  </si>
  <si>
    <t xml:space="preserve">יש בגינה ירידת ערך של 40,000. </t>
  </si>
  <si>
    <t>מה לגבי היח׳ מניבת המזומנים כולה?</t>
  </si>
  <si>
    <t>היחידה כולה היתה בעלת עלות מופחתת:</t>
  </si>
  <si>
    <t>בניכוי ירידת ערך פרטנית של מכונה א ספציפית:</t>
  </si>
  <si>
    <t>ערך ספרים עדכני, לפני בדיקת ירידת ערך של היח׳ כולה:</t>
  </si>
  <si>
    <t>הסכום בר ההשבה של היח׳ כולה:</t>
  </si>
  <si>
    <t>ולכן, יש ירידת ערך נוספת, ברמת היחידה כולה:</t>
  </si>
  <si>
    <t xml:space="preserve">360,000 - 280,000 = </t>
  </si>
  <si>
    <t>בהנחה שידוע שהשווי ההוגן של מכונת טחינת הפופיקים הוא 20 אלפי ש״ח ויש כוונה למכור אותה בסכום זה.</t>
  </si>
  <si>
    <t>תדריך קצר:</t>
  </si>
  <si>
    <t>כאשר אני מזהה מצב שבו קיימת ירידת ערך</t>
  </si>
  <si>
    <t>של פריט ספציפי שמכירתו צפויה ולכן ניתן</t>
  </si>
  <si>
    <t>לחשב עצמאית סכום בר השבה לפריט ספציפי</t>
  </si>
  <si>
    <t>זה, נפעל כך:</t>
  </si>
  <si>
    <t>א. נייחס את ירידת הערך הרלוונטית לפריט הספציפי.</t>
  </si>
  <si>
    <t>ב. את שארית ירידת הערך נקצה לפריטים האחרים</t>
  </si>
  <si>
    <t>בלבד, ללא הקצאה נוספת של ירידת ערך לפריט</t>
  </si>
  <si>
    <t>הספציפי.</t>
  </si>
  <si>
    <t>ירידת הערך ברמת היחידה = שצריך להקצות על הפריטים הלא ספציפיים (בצהוב) היא לפי:</t>
  </si>
  <si>
    <t xml:space="preserve">590 - 320 = </t>
  </si>
  <si>
    <t>אם השווי ההוגן גם ככה יותר גבוה מהערך הפנקסני של המכונה זה אומר שאין להכיר לה בעוד ירידת ערך.</t>
  </si>
  <si>
    <t xml:space="preserve">נוצר סממן לירידת ערך  - ויש לבחון את הסכום בר ההשבה. </t>
  </si>
  <si>
    <t>ערך בספרים של רכיבי היחידה</t>
  </si>
  <si>
    <t>סך הכל ערך בספרים</t>
  </si>
  <si>
    <t>ירידת ערך - להקצאה</t>
  </si>
  <si>
    <t>יתרה</t>
  </si>
  <si>
    <t>עדכנית</t>
  </si>
  <si>
    <t>לסיום</t>
  </si>
  <si>
    <t>כאשר מדובר בהקצאה חוזרת של ירידת ערך, עליי לבצעה על בסיס</t>
  </si>
  <si>
    <t xml:space="preserve">היתרות לאחר הקצאה של הנכסים שנותרו בלבד. </t>
  </si>
  <si>
    <t>מדובר בנכסים ב ו-ג שיתרתם הכוללת לאחר הקצאה ראשונית:</t>
  </si>
  <si>
    <t>60,000 + 30,000 = 90,000</t>
  </si>
  <si>
    <t>ובהתאם: ההקצאה לנכס ב׳ תהיה לפי: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</si>
  <si>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</rPr>
      <t xml:space="preserve">-45,000 / 90,000 * 60,000 = </t>
    </r>
  </si>
  <si>
    <t>להקצאה חוזרת</t>
  </si>
  <si>
    <t>סך יתרת הנכסים לאחר הקצאה (ב + ג)</t>
  </si>
  <si>
    <t>יתרת הנכס הספציפי</t>
  </si>
  <si>
    <t xml:space="preserve">עליו אני מבצע </t>
  </si>
  <si>
    <t>הקצאה (נכס ב)</t>
  </si>
  <si>
    <t>ההקצאה לנכס ג׳: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</si>
  <si>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</rPr>
      <t xml:space="preserve">-45,000 / 90,000 * 30,000 = </t>
    </r>
  </si>
  <si>
    <t>באופן כללי, מה הרציונל של הטיפול?</t>
  </si>
  <si>
    <t>כל נושא היחידה מניבת המזומנים נועד לבחון לא רק</t>
  </si>
  <si>
    <t xml:space="preserve">האם ניתן להכיר בירידת ערך לפי סב״ה - </t>
  </si>
  <si>
    <t>אלא גם לבחון כיצד להקצות את ירידת הערך בין</t>
  </si>
  <si>
    <t>הרכיבים ביחידה.</t>
  </si>
  <si>
    <t>מדוע זה חשוב? הרי לכאורה תגידו - ירידת ערך 120,000</t>
  </si>
  <si>
    <t>נגמר...</t>
  </si>
  <si>
    <t xml:space="preserve">אבל המדידה בתקופות העוקבות - ההפחתה - נשענת על </t>
  </si>
  <si>
    <t xml:space="preserve">יתרות הרכיבים. </t>
  </si>
  <si>
    <t xml:space="preserve">התקדמנו שנה אחת. </t>
  </si>
  <si>
    <t>ההתקדמות הזו - ללא קשר לירידה / עליית ערך, גורמת להפחתת הרכיבים. על פי נתוני השאלה, כלל הרכיבים (הנכסים ביחידה)</t>
  </si>
  <si>
    <t xml:space="preserve">מופחתים על פני 5 שנים. מזה אני מתחיל - כדי להגיע לעלות המופחתת נטו של הרכיבים השונים. </t>
  </si>
  <si>
    <t>הרציונל הוא - אם אני יודע את יתרת העלות המופחתת המקורית, זה יהא הערך המירבי שבגינו אוכל להכיר בעליית ערך כנגד</t>
  </si>
  <si>
    <t xml:space="preserve">רווח והפסד. </t>
  </si>
  <si>
    <t xml:space="preserve">כל אחד מהפריטים בשאלה - הוא בעל עלות מופחתת מקורית (עלות מופחתת בהתעלם מירידות ערך) של זו שהתקיימה לתום שנה קודמת, כפול 4/5 (חלפה שנה אחת מתוך 5). </t>
  </si>
  <si>
    <t>ערך ספרים ״מקורי״</t>
  </si>
  <si>
    <t>אנו נבחן לאור הסממנים החיוביים את הסכום בר ההשבה; ניתן להכיר בעליית ערך לכל היותר עד לגובה העלות המופחתת המקורית.</t>
  </si>
  <si>
    <t>ירידת ערך ״בסך הכל״</t>
  </si>
  <si>
    <t>יתרת ״הפרשה״ מש״ק</t>
  </si>
  <si>
    <t xml:space="preserve">בסך הכל, יתרת ההפרשה לירידת ערך במצב החדש, היא לפי ערך הספרים המקורי המופחת אל מול הסכום בר ההשבה. </t>
  </si>
  <si>
    <t>אנו נבחן את יתרת ההפרשה לירידת הערך העדכנית אל מול יתרת ההפרשה לירידת ערך שהוכרה בשנים קודמות, לאחר הפחתתה.</t>
  </si>
  <si>
    <t>ביטול ירידת ערך והפרשה</t>
  </si>
  <si>
    <t>בפשטות: אם אני יודע שיתרת ההפרשה לתום 2016 היא:</t>
  </si>
  <si>
    <t>אזי יתרת ההפרשה שנה אחרי בהיעדר שינויים נוספים (חלפה שנה מתוך 5):</t>
  </si>
  <si>
    <t xml:space="preserve">120,000 * 4/5 = </t>
  </si>
  <si>
    <t xml:space="preserve">אבל כשבדקתי את ערך הספרים המקורי (ללא הפרשות) אל מול סב״ה, סך י״ע המצטברת: </t>
  </si>
  <si>
    <t>כלומר צריך לעדכן את יתרת ההפרשה מ-96,000 ל-9,000, מה שמעיד על עליית ערך בסך:</t>
  </si>
  <si>
    <t xml:space="preserve">96,000 - 9,000 = </t>
  </si>
  <si>
    <t>ערך ספרים</t>
  </si>
  <si>
    <t>עדכני</t>
  </si>
  <si>
    <t>לפני ע״ע</t>
  </si>
  <si>
    <t>הקצאת</t>
  </si>
  <si>
    <t>עליית</t>
  </si>
  <si>
    <t xml:space="preserve">הערך </t>
  </si>
  <si>
    <t>בהתאם</t>
  </si>
  <si>
    <t>עדכני לאחר</t>
  </si>
  <si>
    <t>הקצאה ראשונה</t>
  </si>
  <si>
    <t>של ע״ע</t>
  </si>
  <si>
    <t xml:space="preserve">באופן כללי, נתון שהשווי ההוגן של נכס א </t>
  </si>
  <si>
    <t>הוא 118,000 ש״ח.</t>
  </si>
  <si>
    <t>באופן טבעי זה אומר שהנכס מוגבל לערך זה.</t>
  </si>
  <si>
    <t>אבל - אנחנו מדברים כאן על עליית ערך;</t>
  </si>
  <si>
    <t>ועליית ערך עקרונית ניתן לייחס לפי סכום</t>
  </si>
  <si>
    <t>בר השבה;</t>
  </si>
  <si>
    <t>וסכום בר השבה איננו שווי הוגן אלא הגבוה</t>
  </si>
  <si>
    <t>מבין שווי הוגן נטו לבין שווי שימוש (ערך</t>
  </si>
  <si>
    <t xml:space="preserve">מהוון של תזרימים). </t>
  </si>
  <si>
    <t>הואיל ואין שום נתון שמעיד על כוונה למכור</t>
  </si>
  <si>
    <t>את נכס א, השווי ההוגן שלו איננו מהווה</t>
  </si>
  <si>
    <t xml:space="preserve">את הסב״ה בהכרח. </t>
  </si>
  <si>
    <t xml:space="preserve">אז בעצם: </t>
  </si>
  <si>
    <t>אם ציינו בפניי שנכס ספציפי צפוי להמכר,</t>
  </si>
  <si>
    <t>אזי שוויו ההוגן נטו (מחיר מכירתו)</t>
  </si>
  <si>
    <t xml:space="preserve">הוא גם הסב״ה שלו. </t>
  </si>
  <si>
    <t>ובהתאם, אם בשאלה הזו היו כותבים מפורשות</t>
  </si>
  <si>
    <t xml:space="preserve">שקיימת כוונה למכור את א בקרוב, </t>
  </si>
  <si>
    <t>הרי שערכו הסופי (כתום) היה 118,000 לפי השווי.</t>
  </si>
  <si>
    <t>אם אין ציפייה למכור את הנכס - לא נוכל להגיד</t>
  </si>
  <si>
    <t>שזה הסב״ה, ולכן ההקצאה של עליית הערך</t>
  </si>
  <si>
    <t>מוגבלת לעלות המופחתת המקורית, קרי</t>
  </si>
  <si>
    <t xml:space="preserve">ל-120,000 ולא ל-118,000. </t>
  </si>
  <si>
    <t>שאלה נוספת באותו סגנון - לינוי והנקניקים</t>
  </si>
  <si>
    <t>בתאריך 31.12.2023 בחברת ״לינוי״ זיהו קקי בפס הייצור של המכונות לחימום נקניק. מכונות אלו עונות להגדרה של יחידה מניבת מזומנים.</t>
  </si>
  <si>
    <t>מכונת ליטוש ציפורניים</t>
  </si>
  <si>
    <t>מכונת מריטת נוצות</t>
  </si>
  <si>
    <t>ש״ח</t>
  </si>
  <si>
    <t>להלן הרכב היחידה - ערך ספרים:</t>
  </si>
  <si>
    <t>נתונים נוספים:</t>
  </si>
  <si>
    <t xml:space="preserve">השווי ההוגן נטו של מכונת ליטוש הציפורניים הוא 230,000 ש״ח. </t>
  </si>
  <si>
    <t>הסכום בר ההשבה של היחידה הוא 1,000,000 ש״ח.</t>
  </si>
  <si>
    <t xml:space="preserve">יתרת אורך החיים השימושיים של הנכסים היא 10 שנים. </t>
  </si>
  <si>
    <t xml:space="preserve">ב-31.12.2024 זוהה סממן חיובי שעשוי להעיד על עליית ערך. נכון לאותו מועד, הסכום בר ההשבה הוא 1,150,000 ש״ח. </t>
  </si>
  <si>
    <t>השווי ההוגן של מכונת ליטוש הציפורניים לאותו יום הוא 280,000 ש״ח.</t>
  </si>
  <si>
    <t>נדרש: הציגו את חישובי ירידת הערך ל-31.12.2023 ול-31.12.2024 לרבות ההקצאה לנכסים הבודדים ביחידה.</t>
  </si>
  <si>
    <t>פתרון:</t>
  </si>
  <si>
    <t>יתרה לאחר</t>
  </si>
  <si>
    <t>הקצ׳ חוזרת</t>
  </si>
  <si>
    <t>ערך בספרים - סופי</t>
  </si>
  <si>
    <t>סב״ה</t>
  </si>
  <si>
    <t>י״ע</t>
  </si>
  <si>
    <t>לא רלוונטי</t>
  </si>
  <si>
    <t>שנת 2024</t>
  </si>
  <si>
    <t>שנת 2023</t>
  </si>
  <si>
    <t>ע״ע</t>
  </si>
  <si>
    <t>י״ע מצטברת עדכנית</t>
  </si>
  <si>
    <t>יתרת י״ע משנה קודמת</t>
  </si>
  <si>
    <t>בסיס
להקצאה</t>
  </si>
  <si>
    <t>עלות 
מופחתת
מקורית</t>
  </si>
  <si>
    <t>ערך ספרים - ש״ח</t>
  </si>
  <si>
    <t>שאלה נוספת באותו סגנון - לינוי והמעי הגס</t>
  </si>
  <si>
    <t>בחברת לינויים ומבריזים בע״מ ידועים ערכי הנכסים הבאים ל-31/12/2022 כולם מרכיבים יחדיו יחידה מניבת מזומנים מגעילה אחת:</t>
  </si>
  <si>
    <t>מכונה א</t>
  </si>
  <si>
    <t>מכונה ב</t>
  </si>
  <si>
    <t>מכונה ג</t>
  </si>
  <si>
    <t>מכונה ד</t>
  </si>
  <si>
    <t xml:space="preserve">רגע לפני עריכת טיוטת הדיווח הכספי ליום 31/12/2022 התברר לחברה ששוב מישהו עשה קקי במכונה. </t>
  </si>
  <si>
    <t>לאור זאת, נאמד הסכום בר ההשבה לאותו היום בסך של 500,000 ש״ח.</t>
  </si>
  <si>
    <t>ב-31/12/2023 בוצעה ביקורת של פקח מטעם משרד הבריאות, שהבהיר שהנזק התברואתי שנוצר עשוי להיות נמוך מהצפוי,</t>
  </si>
  <si>
    <t xml:space="preserve">וכי המשך השימוש ביחידה מניבת המזומנים צפוי להתקיים בהקדם. </t>
  </si>
  <si>
    <t>נכון למועד זה, הסכום בר ההשבה של היחידה מניבת המזומנים כולה הוא 750,000 ש״ח.</t>
  </si>
  <si>
    <t xml:space="preserve">יתרת אורך החיים של היחידה ורכיביה נכון ל-31/12/2022 הוא 10 שנים. </t>
  </si>
  <si>
    <t>נתונים מיוחדים לגבי מכונה ד:</t>
  </si>
  <si>
    <t>השווי ההוגן של מכונה ד ל-31/12/2022 הוא 290,000 ש״ח.</t>
  </si>
  <si>
    <t>השווי ההוגן של מכונה ד ל-31/12/2023 הוא 100,000 ש״ח והחברה מתכננת למכור את הנכס במהלך הימים הקרובים.</t>
  </si>
  <si>
    <t xml:space="preserve">נדרש: הציגו פירוט הקצאות י״ע / ע״ע עבור השנים 2022 ו-2023. </t>
  </si>
  <si>
    <t>שנת 2022</t>
  </si>
  <si>
    <t>א</t>
  </si>
  <si>
    <t>ב</t>
  </si>
  <si>
    <t>ג</t>
  </si>
  <si>
    <t>ד</t>
  </si>
  <si>
    <t>יתרת ביניים</t>
  </si>
  <si>
    <t>ביטול הקצאה</t>
  </si>
  <si>
    <t>דיווח</t>
  </si>
  <si>
    <t>י״ע פרטנית</t>
  </si>
  <si>
    <t>סיכום
ביניים</t>
  </si>
  <si>
    <t>ערך</t>
  </si>
  <si>
    <t>לכל הפריטים בלי פריט ד הספציפי שחווה ירידת ערך ולא עלייה</t>
  </si>
  <si>
    <t>יתרת י״ע לכל הפריטים בלי פריט ד משנים קודמות</t>
  </si>
  <si>
    <t>תוקן לאחר השיעור:</t>
  </si>
  <si>
    <t xml:space="preserve">למרות שיש נתון מפורש לגבי מכונה ד - בהיבט שווי הההוגן; אין צפי למכירת מכונה זו. </t>
  </si>
  <si>
    <t>כשאין צפי מכירה, לא נוכל לטעון שהסכום בר ההשבה נקבע דווקא לפי השווי ההוגן.</t>
  </si>
  <si>
    <t xml:space="preserve">ולכן, ללא בדיקה נוספת, לא נוכל לטעון שאנחנו יודעים את הסכום בר ההשבה הספציפי של מכונה ד. </t>
  </si>
  <si>
    <t>לכן, ביצענו הקצאה על כל הפריטים ״כרגיל״, ורק לאחר מכן זיהינו שהואיל ולאחר ההקצאה הערך</t>
  </si>
  <si>
    <t xml:space="preserve">בספרים נמוך מהשווי ההוגן - חייבים לתקן. </t>
  </si>
  <si>
    <t>בסעיף זה: ידוע שמכונה ד היא על סף מכירה. אם זה המצב, השווי ההוגן שלה (בניכוי עלויות</t>
  </si>
  <si>
    <t>מכירה שכאן אינן נתונות) זה הסכום בר ההשבה שלה. ואם זה הסכום בר ההשבה, נקודה,</t>
  </si>
  <si>
    <t xml:space="preserve">אין מה לבדוק. נתייחס לכל הפריטים בלי המכונה הזו, ונבצע ייחוס בהתאם. </t>
  </si>
  <si>
    <t>סב״ה ד</t>
  </si>
  <si>
    <t>נתון - לפי השווי ההוגן והעובדה שצפוי להמכר</t>
  </si>
  <si>
    <t>סב״ה ללא ד</t>
  </si>
  <si>
    <t>נתון - לכל הפריטים כולל פריט ד שלגביו נתון נפרד וספציפי של סב״ה</t>
  </si>
  <si>
    <r>
      <t xml:space="preserve">ע. מופחתת מקורית לכל הפריטים </t>
    </r>
    <r>
      <rPr>
        <u/>
        <sz val="12"/>
        <color theme="1"/>
        <rFont val="David"/>
        <family val="2"/>
        <charset val="177"/>
      </rPr>
      <t>ללא פריט ד</t>
    </r>
  </si>
  <si>
    <t>סב״ה לכל הפריטים ללא פריט ד</t>
  </si>
  <si>
    <r>
      <t xml:space="preserve">סב״ה &gt; ע. מופ׳ מקורית הרי ש- י״ע  מצטברת לכל הפריטים </t>
    </r>
    <r>
      <rPr>
        <u/>
        <sz val="12"/>
        <color theme="1"/>
        <rFont val="David"/>
        <family val="2"/>
        <charset val="177"/>
      </rPr>
      <t>ללא ד</t>
    </r>
  </si>
  <si>
    <t xml:space="preserve">כל יתרת י״ע לפריטים שאינם ד- תבוטל.  </t>
  </si>
  <si>
    <t>הקצאת
ע״ע</t>
  </si>
  <si>
    <t>הקצאת
ע״עאל</t>
  </si>
  <si>
    <t xml:space="preserve">במלים אחרות: אם בתוך CGU יש מלאי, לא נוכל לייחס למלאי חלק מירידת הערך לפי הגישה של IAS 36 (כן נוכל לפי IAS 2 אבל זה לא הדיון). </t>
  </si>
  <si>
    <t xml:space="preserve">הואיל ורכיב המכונה ב-CGU הוא כן בתחולת התקן  והמלאי לא, לצורך מדידת ירידת הערך נקח את שניהם, אבל לצורך הייחוס &gt;&gt;&gt; נזקוף למכונה בלבד: </t>
  </si>
  <si>
    <t xml:space="preserve">כל הירידה הנ״ל תהיה מיוחסת למכונה. </t>
  </si>
  <si>
    <t>חייב להשאר אותו דבר כי לא ניתן לייחס לו י״ע לפי עקרונות CGU שכן איננו בתחולת IAS 36</t>
  </si>
  <si>
    <t xml:space="preserve">המשמעות היא שכל ירידת הערך חייבת להיות מיוחסת למכונה. </t>
  </si>
  <si>
    <t>סעיף 2 בתקן IAS 36 כולל פירוט מלא של רשימת הפריטים שאליהם לא נוכל לייחס ירידת ערך במסגרת CGU.</t>
  </si>
  <si>
    <t>לא ניתן לייחס ירידת ערך להתחייבות, גם אם ההתחייבות כאמור היא בלתי נמנעת כמו התחייבות</t>
  </si>
  <si>
    <t xml:space="preserve">לפירוק ושיקום שעקרונית, מייחסים לפי IAS 16 לנכס באופן עקרוני. </t>
  </si>
  <si>
    <r>
      <rPr>
        <b/>
        <sz val="12"/>
        <color theme="1"/>
        <rFont val="David"/>
        <family val="2"/>
      </rPr>
      <t>כך שבעצם, הרעיון מרכזי:</t>
    </r>
    <r>
      <rPr>
        <sz val="12"/>
        <color theme="1"/>
        <rFont val="David"/>
        <family val="2"/>
      </rPr>
      <t xml:space="preserve"> ירידת הערך לעולם לא תיוחס להתחייבויות. </t>
    </r>
  </si>
  <si>
    <t>הבעיה בנתוני השאלה שהם לא על בסיס אחיד:</t>
  </si>
  <si>
    <t xml:space="preserve">למה הכוונה - שווי הוגן הוא המחיר שנקבע לעסקה בין מוכר מרצון וקונה מרצון הפועלים בצורה מושכלת וללא יחסים מיוחדים ביניהם. </t>
  </si>
  <si>
    <t xml:space="preserve">נדמיין עצמנו כצד לעסקת רכש של פריט כזה - כמובן שמבחינתנו, אומדן השווי יתייחס (יגלם) את התזרים הלילי שנדרש לשלם לטובת הפירוק. </t>
  </si>
  <si>
    <t>לכן השווי ההוגן שהוא מה שנסכים לשלם תמיד כולל את ההתייחסות לערך ההפרשה / ההתחייבות.</t>
  </si>
  <si>
    <r>
      <rPr>
        <b/>
        <sz val="12"/>
        <color theme="1"/>
        <rFont val="David"/>
        <family val="2"/>
        <charset val="177"/>
      </rPr>
      <t>השווי הוגן</t>
    </r>
    <r>
      <rPr>
        <sz val="12"/>
        <color theme="1"/>
        <rFont val="David"/>
        <family val="2"/>
      </rPr>
      <t xml:space="preserve">- הוא על בסיס נטו (כולל את ההפרשה להתחייבות לפירוק ופינוי). </t>
    </r>
  </si>
  <si>
    <r>
      <rPr>
        <b/>
        <sz val="12"/>
        <color theme="1"/>
        <rFont val="David"/>
        <family val="2"/>
        <charset val="177"/>
      </rPr>
      <t>שווי השימוש</t>
    </r>
    <r>
      <rPr>
        <sz val="12"/>
        <color theme="1"/>
        <rFont val="David"/>
        <family val="2"/>
      </rPr>
      <t>- במקרים רבים עשוי להתייחס לתזרימים החיוביים הצפויים לנבוע מהפריט עצמו, כלומר, לפני ההפרשה.</t>
    </r>
  </si>
  <si>
    <t>לכן עלינו ליצור אחידות כך שתתאפשר מדידת הסכום בר ההשבה של היחידה כולה:</t>
  </si>
  <si>
    <t>שווי הוגן נטו, נתון</t>
  </si>
  <si>
    <t>רכיב ההתחייבות לפירוק ופינוי נתון</t>
  </si>
  <si>
    <t>שווי שימוש שלא מתייחס להתחייבות</t>
  </si>
  <si>
    <t>הגבוה מבין שווי הוגן לשווי שימוש נטו באופן שבו שניהם מתעלמים מההתחייבות</t>
  </si>
  <si>
    <r>
      <t xml:space="preserve">הערך בספרים </t>
    </r>
    <r>
      <rPr>
        <b/>
        <sz val="10"/>
        <color theme="1"/>
        <rFont val="David"/>
        <family val="2"/>
        <charset val="177"/>
      </rPr>
      <t>(רק של הנכס, ללא ההתחייבות)</t>
    </r>
  </si>
  <si>
    <r>
      <rPr>
        <b/>
        <u/>
        <sz val="12"/>
        <rFont val="David"/>
        <family val="2"/>
        <charset val="177"/>
      </rPr>
      <t>אפשרות שנייה</t>
    </r>
    <r>
      <rPr>
        <b/>
        <sz val="12"/>
        <rFont val="David"/>
        <family val="2"/>
        <charset val="177"/>
      </rPr>
      <t>- לעבוד על הנכס נטו (בניכוי ההתחייבות) בשני הצדדים: ערך ספרים, סב״ה</t>
    </r>
  </si>
  <si>
    <t>ערך הספרים הנתון של המכונה עצמה</t>
  </si>
  <si>
    <t>סכום ערך ההתחייבות לפירוק שנתון בשאלה</t>
  </si>
  <si>
    <t>שווי ספרים נכס בניכוי שווי ספרים התחייבות</t>
  </si>
  <si>
    <t>שווי הוגן ברוטו נתון</t>
  </si>
  <si>
    <t>לפני התייחסות לניכוי עלויות פירוק ושיקום</t>
  </si>
  <si>
    <t>ההתחייבות לפירוק ושיקום</t>
  </si>
  <si>
    <t xml:space="preserve">מקרה זה דן באירוע שונה: בשונה ממקרה א שמתייחס לכל היחידה כמקשה אחת, כאן התרחש נזק ספציפי למכונה א. </t>
  </si>
  <si>
    <t>עצם העובדה שהנזק הוא למכונה א בלבד, אין משמעו אוטומטית שצריך להבחין בינה לבין יתר הנכסים ב-CGU בשלב זה;</t>
  </si>
  <si>
    <t xml:space="preserve">מדוע? משום שגם אם היא ניזוקה, עקרונית קשה לחשב לה במקרה הכללי סב״ה בנפרד (קשה לחשב שווי שימוש נטו לאחר הנזק). </t>
  </si>
  <si>
    <t xml:space="preserve">אבל! אם המכונה שניזוקה מתוכננת למכירה מיידית - אזי כל המידע על שווי השימוש נטו חסר משמעות - כי אתה לא מתכנן להשתמש אלא למכור. </t>
  </si>
  <si>
    <t xml:space="preserve">לכן, הסכום בר ההשבה שלה בכלל לא מושפע משווי שימוש נטו, כי אין ציפייה לשימוש מתמשך, אלא מתמורת המכירה הצפויה בלבד (שווי הוגן). </t>
  </si>
  <si>
    <t xml:space="preserve">במצב כזה - שבו פריט מסוים ניזוק, ולאור הצפי למכירתו ניתן להעריך את הסכום בר ההשבה שלו, נייחס אליו ירידת ערך בנפרד מיתר רכיבי היחידה. </t>
  </si>
  <si>
    <t>ואם כך, הבה נתמקד במכונה א בתור התחלה:</t>
  </si>
  <si>
    <t>נתון! טרם הירידה</t>
  </si>
  <si>
    <t>לפי שווי הוגן לאור צפי המכירה</t>
  </si>
  <si>
    <t>ירידת ערך - מכונה א׳</t>
  </si>
  <si>
    <t xml:space="preserve">כל ירידת הערך הזו מיוחסת כאמור רק למכונה א. </t>
  </si>
  <si>
    <t>כעת נעבור לדיון ביחידה כולה לאחר ייחוס ירידת הערך למכונה א:</t>
  </si>
  <si>
    <t>לאחר גילום ירידת הערך שיוחסה למכונה א בסך 40,000</t>
  </si>
  <si>
    <t>נתון - של היחידה כולה</t>
  </si>
  <si>
    <t>ירידת ערך נוספת להקצאה</t>
  </si>
  <si>
    <t>כלומר אין ירידת ערך נוספת מעבר ל-40,000 שכבר הוכרו, אשר עלינו לייחס ליתר רכיבי ה-CGU</t>
  </si>
  <si>
    <t>נדרש ג - ירידת ערך של נכס ספציפי שהוא חלק מהיחידה, אך מבלי שיש כוונת מכירה שלו</t>
  </si>
  <si>
    <t>נתוני ערך הספרים של היחידה:</t>
  </si>
  <si>
    <t>ערך ספרים בש״ח</t>
  </si>
  <si>
    <t xml:space="preserve">נתון נוסף 2: הסכום בר ההשבה של היחידה כולה: 280,000 ש״ח. </t>
  </si>
  <si>
    <t xml:space="preserve">נדרש: יחסו את ירידת הערך שחלה לרכיבים בהתאם לגישה המתאימה שיש ליישם במקרה זה. </t>
  </si>
  <si>
    <t>מכונה ספציפית נדפקה</t>
  </si>
  <si>
    <t>אם אפשר לחשב את הסב״ה שלה, אתייחס אליה ספציפית</t>
  </si>
  <si>
    <t>נדרש הגבוה מבין שווי שימוש נטו לשווי הוגן</t>
  </si>
  <si>
    <t>לא ידוע ולצערי רלוונטי ונדרש</t>
  </si>
  <si>
    <t>כי אין כוונת מכירה, לא נוכל</t>
  </si>
  <si>
    <t>להתעלם ממנו</t>
  </si>
  <si>
    <t>לא נוכל</t>
  </si>
  <si>
    <t>להתייחס</t>
  </si>
  <si>
    <t>לנכס א בנפרד</t>
  </si>
  <si>
    <r>
      <t xml:space="preserve">נתון נוסף 1: מכונה א נדפקה, וכעת שוויה ההוגן 160,000 ש״ח. </t>
    </r>
    <r>
      <rPr>
        <b/>
        <sz val="12"/>
        <color rgb="FFEE0000"/>
        <rFont val="David"/>
        <family val="2"/>
        <charset val="177"/>
      </rPr>
      <t>אין כוונת מכירה</t>
    </r>
    <r>
      <rPr>
        <sz val="12"/>
        <color theme="1"/>
        <rFont val="David"/>
        <family val="2"/>
        <charset val="177"/>
      </rPr>
      <t xml:space="preserve">. </t>
    </r>
  </si>
  <si>
    <t>מ-400,000, סיימנו ללא ירידה (אין ירידה לספציפי,</t>
  </si>
  <si>
    <t>אין ירידה ברמת ה-CGU)</t>
  </si>
  <si>
    <r>
      <rPr>
        <b/>
        <sz val="12"/>
        <color theme="9" tint="-0.249977111117893"/>
        <rFont val="David"/>
        <family val="2"/>
        <charset val="177"/>
      </rPr>
      <t>אם הסכום בר ההשבה</t>
    </r>
    <r>
      <rPr>
        <sz val="12"/>
        <color theme="1"/>
        <rFont val="David"/>
        <family val="2"/>
      </rPr>
      <t xml:space="preserve"> היה שווה או גדול </t>
    </r>
  </si>
  <si>
    <t>אך הואיל והסכום בר ההשבה</t>
  </si>
  <si>
    <t xml:space="preserve">במקרה זה הוא 280,000 </t>
  </si>
  <si>
    <t>כלומר נמוך יותר, כן תהיה</t>
  </si>
  <si>
    <t xml:space="preserve">ירידת ערך. </t>
  </si>
  <si>
    <t>איך אני מבצע הקצאה של ירידת הערך באופן שמתאים להגדרת החשיובים ביחידה מניבת מזומנים על רכיביה?</t>
  </si>
  <si>
    <t>התקן - IAS 36 מדבר על כך, שההקצאה צריכה להתבצע לפי יחס הערך בספרים.</t>
  </si>
  <si>
    <t>נכס</t>
  </si>
  <si>
    <r>
      <t xml:space="preserve">סה״כ </t>
    </r>
    <r>
      <rPr>
        <sz val="10"/>
        <color theme="1"/>
        <rFont val="David"/>
        <family val="2"/>
        <charset val="177"/>
      </rPr>
      <t>ספרים</t>
    </r>
  </si>
  <si>
    <t>יחסית</t>
  </si>
  <si>
    <t>ליחידה</t>
  </si>
  <si>
    <t xml:space="preserve">ירידת </t>
  </si>
  <si>
    <t>הערך</t>
  </si>
  <si>
    <t>היחסית</t>
  </si>
  <si>
    <t>לנכס</t>
  </si>
  <si>
    <t>לאחר הקצאת</t>
  </si>
  <si>
    <t>סופי לדיווח</t>
  </si>
  <si>
    <t>לאחר בדיקת מגבלת שווי</t>
  </si>
  <si>
    <t>תיקון</t>
  </si>
  <si>
    <t xml:space="preserve">הקצאת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</si>
</sst>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 * #,##0.00_ ;_ * \-#,##0.00_ ;_ * &quot;-&quot;??_ ;_ @_ "/>
    <numFmt numFmtId="165" formatCode="_ * #,##0_ ;_ * \-#,##0_ ;_ * &quot;-&quot;??_ ;_ @_ "/>
    <numFmt numFmtId="166" formatCode="0.000"/>
  </numFmts>
  <fonts count="27" x14ac:knownFonts="1">
    <font>
      <sz val="11"/>
      <color theme="1"/>
      <name val="Aptos Narrow"/>
      <family val="2"/>
      <charset val="177"/>
      <scheme val="minor"/>
    </font>
    <font>
      <sz val="11"/>
      <color theme="1"/>
      <name val="Aptos Narrow"/>
      <family val="2"/>
      <charset val="177"/>
      <scheme val="minor"/>
    </font>
    <font>
      <sz val="12"/>
      <color theme="1"/>
      <name val="David"/>
      <family val="2"/>
    </font>
    <font>
      <b/>
      <sz val="12"/>
      <color theme="1"/>
      <name val="David"/>
      <family val="2"/>
    </font>
    <font>
      <u/>
      <sz val="12"/>
      <color theme="1"/>
      <name val="David"/>
      <family val="2"/>
    </font>
    <font>
      <b/>
      <u/>
      <sz val="12"/>
      <color theme="1"/>
      <name val="David"/>
      <family val="2"/>
    </font>
    <font>
      <u val="singleAccounting"/>
      <sz val="12"/>
      <color theme="1"/>
      <name val="David"/>
      <family val="2"/>
    </font>
    <font>
      <b/>
      <sz val="12"/>
      <color theme="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sz val="12"/>
      <color rgb="FFFF0000"/>
      <name val="David"/>
      <family val="2"/>
    </font>
    <font>
      <sz val="12"/>
      <color theme="0"/>
      <name val="David"/>
      <family val="2"/>
    </font>
    <font>
      <sz val="12"/>
      <name val="David"/>
      <family val="2"/>
    </font>
    <font>
      <u/>
      <sz val="12"/>
      <name val="David"/>
      <family val="2"/>
    </font>
    <font>
      <b/>
      <u/>
      <sz val="12"/>
      <name val="David"/>
      <family val="2"/>
    </font>
    <font>
      <b/>
      <sz val="12"/>
      <name val="David"/>
      <family val="2"/>
    </font>
    <font>
      <u val="singleAccounting"/>
      <sz val="12"/>
      <name val="David"/>
      <family val="2"/>
    </font>
    <font>
      <sz val="12"/>
      <color theme="1"/>
      <name val="David"/>
      <family val="2"/>
      <charset val="177"/>
    </font>
    <font>
      <sz val="12"/>
      <color theme="0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0"/>
      <color theme="1"/>
      <name val="David"/>
      <family val="2"/>
      <charset val="177"/>
    </font>
    <font>
      <b/>
      <sz val="12"/>
      <name val="David"/>
      <family val="2"/>
      <charset val="177"/>
    </font>
    <font>
      <b/>
      <u/>
      <sz val="12"/>
      <name val="David"/>
      <family val="2"/>
      <charset val="177"/>
    </font>
    <font>
      <sz val="9"/>
      <color theme="1"/>
      <name val="David"/>
      <family val="2"/>
    </font>
    <font>
      <b/>
      <sz val="12"/>
      <color rgb="FFEE0000"/>
      <name val="David"/>
      <family val="2"/>
      <charset val="177"/>
    </font>
    <font>
      <b/>
      <sz val="12"/>
      <color theme="9" tint="-0.249977111117893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0"/>
      <color theme="1"/>
      <name val="David"/>
      <family val="2"/>
      <charset val="177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1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20">
    <xf numFmtId="0" fontId="0" fillId="0" borderId="0" xfId="0"/>
    <xf numFmtId="0" fontId="2" fillId="0" borderId="0" xfId="0" applyFont="1"/>
    <xf numFmtId="165" fontId="2" fillId="0" borderId="0" xfId="1" applyNumberFormat="1" applyFont="1"/>
    <xf numFmtId="165" fontId="4" fillId="0" borderId="0" xfId="1" applyNumberFormat="1" applyFont="1"/>
    <xf numFmtId="0" fontId="5" fillId="0" borderId="0" xfId="0" applyFont="1"/>
    <xf numFmtId="0" fontId="4" fillId="0" borderId="0" xfId="0" applyFont="1"/>
    <xf numFmtId="3" fontId="2" fillId="0" borderId="0" xfId="0" applyNumberFormat="1" applyFont="1"/>
    <xf numFmtId="3" fontId="5" fillId="0" borderId="0" xfId="0" applyNumberFormat="1" applyFont="1"/>
    <xf numFmtId="3" fontId="4" fillId="0" borderId="0" xfId="0" applyNumberFormat="1" applyFont="1"/>
    <xf numFmtId="165" fontId="2" fillId="0" borderId="0" xfId="0" applyNumberFormat="1" applyFont="1"/>
    <xf numFmtId="165" fontId="6" fillId="0" borderId="0" xfId="1" applyNumberFormat="1" applyFont="1"/>
    <xf numFmtId="165" fontId="6" fillId="0" borderId="0" xfId="0" applyNumberFormat="1" applyFont="1"/>
    <xf numFmtId="9" fontId="2" fillId="0" borderId="0" xfId="2" applyFont="1"/>
    <xf numFmtId="0" fontId="2" fillId="0" borderId="0" xfId="0" applyFont="1" applyAlignment="1">
      <alignment horizontal="center" wrapText="1"/>
    </xf>
    <xf numFmtId="165" fontId="3" fillId="0" borderId="0" xfId="1" applyNumberFormat="1" applyFont="1"/>
    <xf numFmtId="165" fontId="2" fillId="0" borderId="0" xfId="0" applyNumberFormat="1" applyFont="1" applyAlignment="1">
      <alignment horizontal="right" readingOrder="2"/>
    </xf>
    <xf numFmtId="165" fontId="3" fillId="0" borderId="0" xfId="0" applyNumberFormat="1" applyFont="1"/>
    <xf numFmtId="0" fontId="2" fillId="0" borderId="1" xfId="0" applyFont="1" applyBorder="1"/>
    <xf numFmtId="14" fontId="8" fillId="0" borderId="0" xfId="0" applyNumberFormat="1" applyFont="1"/>
    <xf numFmtId="3" fontId="2" fillId="0" borderId="2" xfId="0" applyNumberFormat="1" applyFont="1" applyBorder="1"/>
    <xf numFmtId="3" fontId="9" fillId="0" borderId="0" xfId="0" applyNumberFormat="1" applyFont="1"/>
    <xf numFmtId="165" fontId="9" fillId="0" borderId="0" xfId="1" applyNumberFormat="1" applyFont="1"/>
    <xf numFmtId="0" fontId="10" fillId="0" borderId="0" xfId="0" applyFont="1"/>
    <xf numFmtId="165" fontId="10" fillId="0" borderId="0" xfId="0" applyNumberFormat="1" applyFont="1"/>
    <xf numFmtId="0" fontId="7" fillId="0" borderId="0" xfId="0" applyFont="1"/>
    <xf numFmtId="0" fontId="11" fillId="0" borderId="0" xfId="0" applyFont="1"/>
    <xf numFmtId="3" fontId="11" fillId="0" borderId="0" xfId="0" applyNumberFormat="1" applyFont="1"/>
    <xf numFmtId="3" fontId="12" fillId="0" borderId="0" xfId="0" applyNumberFormat="1" applyFont="1"/>
    <xf numFmtId="3" fontId="13" fillId="0" borderId="0" xfId="0" applyNumberFormat="1" applyFont="1"/>
    <xf numFmtId="165" fontId="11" fillId="0" borderId="0" xfId="0" applyNumberFormat="1" applyFont="1"/>
    <xf numFmtId="0" fontId="14" fillId="0" borderId="0" xfId="0" applyFont="1"/>
    <xf numFmtId="0" fontId="2" fillId="0" borderId="3" xfId="0" applyFont="1" applyBorder="1"/>
    <xf numFmtId="0" fontId="2" fillId="0" borderId="4" xfId="0" applyFont="1" applyBorder="1"/>
    <xf numFmtId="0" fontId="11" fillId="0" borderId="5" xfId="0" applyFont="1" applyBorder="1"/>
    <xf numFmtId="0" fontId="11" fillId="0" borderId="6" xfId="0" applyFont="1" applyBorder="1"/>
    <xf numFmtId="0" fontId="11" fillId="0" borderId="7" xfId="0" applyFont="1" applyBorder="1"/>
    <xf numFmtId="0" fontId="11" fillId="0" borderId="8" xfId="0" applyFont="1" applyBorder="1"/>
    <xf numFmtId="0" fontId="12" fillId="0" borderId="0" xfId="0" applyFont="1"/>
    <xf numFmtId="165" fontId="15" fillId="0" borderId="0" xfId="0" applyNumberFormat="1" applyFont="1"/>
    <xf numFmtId="0" fontId="16" fillId="0" borderId="0" xfId="0" applyFont="1"/>
    <xf numFmtId="165" fontId="11" fillId="0" borderId="0" xfId="1" applyNumberFormat="1" applyFont="1"/>
    <xf numFmtId="165" fontId="15" fillId="0" borderId="0" xfId="1" applyNumberFormat="1" applyFont="1"/>
    <xf numFmtId="0" fontId="11" fillId="0" borderId="1" xfId="0" applyFont="1" applyBorder="1"/>
    <xf numFmtId="0" fontId="2" fillId="3" borderId="0" xfId="0" applyFont="1" applyFill="1"/>
    <xf numFmtId="0" fontId="8" fillId="3" borderId="0" xfId="0" applyFont="1" applyFill="1"/>
    <xf numFmtId="0" fontId="2" fillId="3" borderId="2" xfId="0" applyFont="1" applyFill="1" applyBorder="1"/>
    <xf numFmtId="0" fontId="2" fillId="3" borderId="0" xfId="0" applyFont="1" applyFill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2" fillId="3" borderId="2" xfId="0" applyFont="1" applyFill="1" applyBorder="1" applyAlignment="1">
      <alignment horizontal="center"/>
    </xf>
    <xf numFmtId="9" fontId="2" fillId="3" borderId="0" xfId="2" applyFont="1" applyFill="1" applyAlignment="1">
      <alignment horizontal="center"/>
    </xf>
    <xf numFmtId="9" fontId="2" fillId="3" borderId="2" xfId="2" applyFont="1" applyFill="1" applyBorder="1" applyAlignment="1">
      <alignment horizontal="center"/>
    </xf>
    <xf numFmtId="166" fontId="2" fillId="3" borderId="0" xfId="0" applyNumberFormat="1" applyFont="1" applyFill="1" applyAlignment="1">
      <alignment horizontal="center"/>
    </xf>
    <xf numFmtId="166" fontId="2" fillId="3" borderId="0" xfId="0" applyNumberFormat="1" applyFont="1" applyFill="1"/>
    <xf numFmtId="1" fontId="2" fillId="3" borderId="0" xfId="0" applyNumberFormat="1" applyFont="1" applyFill="1" applyAlignment="1">
      <alignment horizontal="center"/>
    </xf>
    <xf numFmtId="0" fontId="2" fillId="3" borderId="9" xfId="0" applyFont="1" applyFill="1" applyBorder="1" applyAlignment="1">
      <alignment horizontal="center"/>
    </xf>
    <xf numFmtId="166" fontId="2" fillId="2" borderId="10" xfId="0" applyNumberFormat="1" applyFont="1" applyFill="1" applyBorder="1" applyAlignment="1">
      <alignment horizontal="center"/>
    </xf>
    <xf numFmtId="166" fontId="2" fillId="2" borderId="11" xfId="0" applyNumberFormat="1" applyFont="1" applyFill="1" applyBorder="1" applyAlignment="1">
      <alignment horizontal="center"/>
    </xf>
    <xf numFmtId="166" fontId="2" fillId="2" borderId="12" xfId="0" applyNumberFormat="1" applyFont="1" applyFill="1" applyBorder="1" applyAlignment="1">
      <alignment horizontal="center"/>
    </xf>
    <xf numFmtId="166" fontId="2" fillId="2" borderId="0" xfId="0" applyNumberFormat="1" applyFont="1" applyFill="1"/>
    <xf numFmtId="0" fontId="2" fillId="2" borderId="0" xfId="0" applyFont="1" applyFill="1" applyAlignment="1">
      <alignment horizontal="center"/>
    </xf>
    <xf numFmtId="2" fontId="2" fillId="3" borderId="0" xfId="2" applyNumberFormat="1" applyFont="1" applyFill="1" applyAlignment="1">
      <alignment horizontal="center"/>
    </xf>
    <xf numFmtId="14" fontId="4" fillId="0" borderId="0" xfId="0" applyNumberFormat="1" applyFont="1"/>
    <xf numFmtId="165" fontId="12" fillId="0" borderId="0" xfId="1" applyNumberFormat="1" applyFont="1"/>
    <xf numFmtId="14" fontId="4" fillId="2" borderId="0" xfId="0" applyNumberFormat="1" applyFont="1" applyFill="1" applyAlignment="1">
      <alignment horizontal="right"/>
    </xf>
    <xf numFmtId="0" fontId="2" fillId="2" borderId="0" xfId="0" applyFont="1" applyFill="1"/>
    <xf numFmtId="0" fontId="2" fillId="0" borderId="13" xfId="0" applyFont="1" applyBorder="1"/>
    <xf numFmtId="0" fontId="2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14" xfId="0" applyFont="1" applyBorder="1"/>
    <xf numFmtId="0" fontId="2" fillId="0" borderId="8" xfId="0" applyFont="1" applyBorder="1"/>
    <xf numFmtId="165" fontId="2" fillId="4" borderId="0" xfId="1" applyNumberFormat="1" applyFont="1" applyFill="1"/>
    <xf numFmtId="0" fontId="11" fillId="4" borderId="0" xfId="0" applyFont="1" applyFill="1"/>
    <xf numFmtId="0" fontId="2" fillId="4" borderId="0" xfId="0" applyFont="1" applyFill="1"/>
    <xf numFmtId="0" fontId="12" fillId="4" borderId="0" xfId="0" applyFont="1" applyFill="1"/>
    <xf numFmtId="165" fontId="11" fillId="4" borderId="0" xfId="0" applyNumberFormat="1" applyFont="1" applyFill="1"/>
    <xf numFmtId="165" fontId="15" fillId="4" borderId="0" xfId="0" applyNumberFormat="1" applyFont="1" applyFill="1"/>
    <xf numFmtId="14" fontId="4" fillId="0" borderId="0" xfId="0" applyNumberFormat="1" applyFont="1" applyAlignment="1">
      <alignment horizontal="right"/>
    </xf>
    <xf numFmtId="14" fontId="2" fillId="0" borderId="0" xfId="0" applyNumberFormat="1" applyFont="1" applyAlignment="1">
      <alignment horizontal="right"/>
    </xf>
    <xf numFmtId="0" fontId="12" fillId="5" borderId="0" xfId="0" applyFont="1" applyFill="1"/>
    <xf numFmtId="165" fontId="11" fillId="5" borderId="0" xfId="0" applyNumberFormat="1" applyFont="1" applyFill="1"/>
    <xf numFmtId="165" fontId="11" fillId="5" borderId="1" xfId="0" applyNumberFormat="1" applyFont="1" applyFill="1" applyBorder="1"/>
    <xf numFmtId="165" fontId="2" fillId="5" borderId="0" xfId="0" applyNumberFormat="1" applyFont="1" applyFill="1"/>
    <xf numFmtId="3" fontId="2" fillId="0" borderId="1" xfId="0" applyNumberFormat="1" applyFont="1" applyBorder="1" applyAlignment="1">
      <alignment horizontal="center" wrapText="1"/>
    </xf>
    <xf numFmtId="3" fontId="2" fillId="0" borderId="0" xfId="0" applyNumberFormat="1" applyFont="1" applyAlignment="1">
      <alignment horizontal="center"/>
    </xf>
    <xf numFmtId="3" fontId="2" fillId="0" borderId="2" xfId="0" applyNumberFormat="1" applyFont="1" applyBorder="1" applyAlignment="1">
      <alignment horizontal="center"/>
    </xf>
    <xf numFmtId="0" fontId="2" fillId="5" borderId="0" xfId="0" applyFont="1" applyFill="1"/>
    <xf numFmtId="0" fontId="2" fillId="0" borderId="0" xfId="0" applyFont="1" applyAlignment="1">
      <alignment horizontal="center"/>
    </xf>
    <xf numFmtId="3" fontId="2" fillId="6" borderId="0" xfId="0" applyNumberFormat="1" applyFont="1" applyFill="1" applyAlignment="1">
      <alignment horizontal="center"/>
    </xf>
    <xf numFmtId="3" fontId="2" fillId="6" borderId="2" xfId="0" applyNumberFormat="1" applyFont="1" applyFill="1" applyBorder="1" applyAlignment="1">
      <alignment horizontal="center"/>
    </xf>
    <xf numFmtId="0" fontId="7" fillId="2" borderId="0" xfId="0" applyFont="1" applyFill="1"/>
    <xf numFmtId="3" fontId="2" fillId="0" borderId="0" xfId="0" applyNumberFormat="1" applyFont="1" applyAlignment="1">
      <alignment horizontal="center" wrapText="1"/>
    </xf>
    <xf numFmtId="3" fontId="11" fillId="0" borderId="2" xfId="0" applyNumberFormat="1" applyFont="1" applyBorder="1"/>
    <xf numFmtId="3" fontId="11" fillId="4" borderId="0" xfId="0" applyNumberFormat="1" applyFont="1" applyFill="1"/>
    <xf numFmtId="3" fontId="11" fillId="7" borderId="0" xfId="0" applyNumberFormat="1" applyFont="1" applyFill="1"/>
    <xf numFmtId="3" fontId="11" fillId="6" borderId="0" xfId="0" applyNumberFormat="1" applyFont="1" applyFill="1" applyAlignment="1">
      <alignment horizontal="center"/>
    </xf>
    <xf numFmtId="3" fontId="11" fillId="6" borderId="2" xfId="0" applyNumberFormat="1" applyFont="1" applyFill="1" applyBorder="1" applyAlignment="1">
      <alignment horizontal="center"/>
    </xf>
    <xf numFmtId="3" fontId="11" fillId="0" borderId="0" xfId="0" applyNumberFormat="1" applyFont="1" applyAlignment="1">
      <alignment horizontal="center"/>
    </xf>
    <xf numFmtId="3" fontId="11" fillId="0" borderId="2" xfId="0" applyNumberFormat="1" applyFont="1" applyBorder="1" applyAlignment="1">
      <alignment horizontal="center"/>
    </xf>
    <xf numFmtId="3" fontId="11" fillId="4" borderId="0" xfId="0" applyNumberFormat="1" applyFont="1" applyFill="1" applyAlignment="1">
      <alignment horizontal="center"/>
    </xf>
    <xf numFmtId="0" fontId="2" fillId="0" borderId="0" xfId="0" applyFont="1" applyAlignment="1">
      <alignment wrapText="1"/>
    </xf>
    <xf numFmtId="0" fontId="2" fillId="0" borderId="0" xfId="0" applyFont="1" applyAlignment="1">
      <alignment horizontal="center" wrapText="1"/>
    </xf>
    <xf numFmtId="0" fontId="20" fillId="0" borderId="0" xfId="0" applyFont="1"/>
    <xf numFmtId="0" fontId="22" fillId="0" borderId="0" xfId="0" applyFont="1"/>
    <xf numFmtId="0" fontId="11" fillId="7" borderId="0" xfId="0" applyFont="1" applyFill="1"/>
    <xf numFmtId="0" fontId="23" fillId="0" borderId="0" xfId="0" applyFont="1"/>
    <xf numFmtId="0" fontId="16" fillId="0" borderId="15" xfId="0" applyFont="1" applyBorder="1"/>
    <xf numFmtId="0" fontId="2" fillId="0" borderId="16" xfId="0" applyFont="1" applyBorder="1"/>
    <xf numFmtId="0" fontId="2" fillId="0" borderId="17" xfId="0" applyFont="1" applyBorder="1"/>
    <xf numFmtId="0" fontId="25" fillId="0" borderId="0" xfId="0" applyFont="1"/>
    <xf numFmtId="0" fontId="11" fillId="0" borderId="0" xfId="0" applyFont="1" applyAlignment="1">
      <alignment horizontal="center"/>
    </xf>
    <xf numFmtId="0" fontId="11" fillId="0" borderId="1" xfId="0" applyFont="1" applyBorder="1" applyAlignment="1">
      <alignment horizontal="center"/>
    </xf>
    <xf numFmtId="9" fontId="11" fillId="0" borderId="0" xfId="2" applyFont="1" applyAlignment="1">
      <alignment horizontal="center"/>
    </xf>
    <xf numFmtId="165" fontId="11" fillId="0" borderId="0" xfId="1" applyNumberFormat="1" applyFont="1" applyAlignment="1">
      <alignment horizontal="center"/>
    </xf>
    <xf numFmtId="165" fontId="15" fillId="0" borderId="0" xfId="1" applyNumberFormat="1" applyFont="1" applyAlignment="1">
      <alignment horizontal="center"/>
    </xf>
    <xf numFmtId="165" fontId="11" fillId="0" borderId="0" xfId="0" applyNumberFormat="1" applyFont="1" applyAlignment="1">
      <alignment horizontal="center"/>
    </xf>
    <xf numFmtId="165" fontId="11" fillId="7" borderId="0" xfId="1" applyNumberFormat="1" applyFont="1" applyFill="1"/>
    <xf numFmtId="9" fontId="11" fillId="7" borderId="0" xfId="2" applyFont="1" applyFill="1" applyAlignment="1">
      <alignment horizontal="center"/>
    </xf>
    <xf numFmtId="165" fontId="11" fillId="7" borderId="0" xfId="0" applyNumberFormat="1" applyFont="1" applyFill="1"/>
    <xf numFmtId="165" fontId="15" fillId="7" borderId="0" xfId="0" applyNumberFormat="1" applyFont="1" applyFill="1"/>
  </cellXfs>
  <cellStyles count="3">
    <cellStyle name="Comma" xfId="1" builtinId="3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24422</xdr:colOff>
      <xdr:row>1</xdr:row>
      <xdr:rowOff>24423</xdr:rowOff>
    </xdr:from>
    <xdr:to>
      <xdr:col>11</xdr:col>
      <xdr:colOff>230553</xdr:colOff>
      <xdr:row>11</xdr:row>
      <xdr:rowOff>136487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631B0C-D231-615A-8097-CB0AF4DBE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36430909" y="229577"/>
          <a:ext cx="7772400" cy="216360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180399</xdr:rowOff>
    </xdr:from>
    <xdr:to>
      <xdr:col>7</xdr:col>
      <xdr:colOff>541192</xdr:colOff>
      <xdr:row>9</xdr:row>
      <xdr:rowOff>119177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2D7B67-0EF2-235C-F73F-44179B20B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89728523" y="382444"/>
          <a:ext cx="5816022" cy="1555142"/>
        </a:xfrm>
        <a:prstGeom prst="rect">
          <a:avLst/>
        </a:prstGeom>
      </xdr:spPr>
    </xdr:pic>
    <xdr:clientData/>
  </xdr:twoCellAnchor>
  <xdr:twoCellAnchor>
    <xdr:from>
      <xdr:col>5</xdr:col>
      <xdr:colOff>425020</xdr:colOff>
      <xdr:row>28</xdr:row>
      <xdr:rowOff>197331</xdr:rowOff>
    </xdr:from>
    <xdr:to>
      <xdr:col>5</xdr:col>
      <xdr:colOff>662828</xdr:colOff>
      <xdr:row>31</xdr:row>
      <xdr:rowOff>20239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EE01DEAF-C64E-8486-9DC2-11C1D185C253}"/>
            </a:ext>
          </a:extLst>
        </xdr:cNvPr>
        <xdr:cNvCxnSpPr/>
      </xdr:nvCxnSpPr>
      <xdr:spPr>
        <a:xfrm flipH="1" flipV="1">
          <a:off x="11021555857" y="5864263"/>
          <a:ext cx="237808" cy="43008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541395</xdr:colOff>
      <xdr:row>27</xdr:row>
      <xdr:rowOff>65777</xdr:rowOff>
    </xdr:from>
    <xdr:to>
      <xdr:col>5</xdr:col>
      <xdr:colOff>354183</xdr:colOff>
      <xdr:row>31</xdr:row>
      <xdr:rowOff>30358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A99850B5-79FB-0F3F-5227-3C4B6635FB56}"/>
            </a:ext>
          </a:extLst>
        </xdr:cNvPr>
        <xdr:cNvCxnSpPr/>
      </xdr:nvCxnSpPr>
      <xdr:spPr>
        <a:xfrm flipH="1" flipV="1">
          <a:off x="11021864502" y="5530319"/>
          <a:ext cx="485736" cy="77414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941115</xdr:colOff>
      <xdr:row>28</xdr:row>
      <xdr:rowOff>5060</xdr:rowOff>
    </xdr:from>
    <xdr:to>
      <xdr:col>3</xdr:col>
      <xdr:colOff>581872</xdr:colOff>
      <xdr:row>29</xdr:row>
      <xdr:rowOff>40478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79BE5B65-0848-C7AB-39C9-6FF881E1AD1B}"/>
            </a:ext>
          </a:extLst>
        </xdr:cNvPr>
        <xdr:cNvSpPr/>
      </xdr:nvSpPr>
      <xdr:spPr>
        <a:xfrm>
          <a:off x="11023134502" y="5671992"/>
          <a:ext cx="617291" cy="237809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951234</xdr:colOff>
      <xdr:row>32</xdr:row>
      <xdr:rowOff>202389</xdr:rowOff>
    </xdr:from>
    <xdr:to>
      <xdr:col>3</xdr:col>
      <xdr:colOff>591991</xdr:colOff>
      <xdr:row>34</xdr:row>
      <xdr:rowOff>35417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72402841-2CE9-9D4D-074A-410EDB260AE4}"/>
            </a:ext>
          </a:extLst>
        </xdr:cNvPr>
        <xdr:cNvSpPr/>
      </xdr:nvSpPr>
      <xdr:spPr>
        <a:xfrm>
          <a:off x="11023124383" y="6678883"/>
          <a:ext cx="617291" cy="237809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526215</xdr:colOff>
      <xdr:row>28</xdr:row>
      <xdr:rowOff>126494</xdr:rowOff>
    </xdr:from>
    <xdr:to>
      <xdr:col>3</xdr:col>
      <xdr:colOff>764023</xdr:colOff>
      <xdr:row>33</xdr:row>
      <xdr:rowOff>106255</xdr:rowOff>
    </xdr:to>
    <xdr:sp macro="" textlink="">
      <xdr:nvSpPr>
        <xdr:cNvPr id="10" name="Left Brace 9">
          <a:extLst>
            <a:ext uri="{FF2B5EF4-FFF2-40B4-BE49-F238E27FC236}">
              <a16:creationId xmlns:a16="http://schemas.microsoft.com/office/drawing/2014/main" id="{F5CDB0B0-565C-4618-84ED-A4DF5EBD67C4}"/>
            </a:ext>
          </a:extLst>
        </xdr:cNvPr>
        <xdr:cNvSpPr/>
      </xdr:nvSpPr>
      <xdr:spPr>
        <a:xfrm>
          <a:off x="11022952351" y="5793426"/>
          <a:ext cx="237808" cy="991713"/>
        </a:xfrm>
        <a:prstGeom prst="leftBrace">
          <a:avLst>
            <a:gd name="adj1" fmla="val 8333"/>
            <a:gd name="adj2" fmla="val 10000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764023</xdr:colOff>
      <xdr:row>33</xdr:row>
      <xdr:rowOff>106255</xdr:rowOff>
    </xdr:from>
    <xdr:to>
      <xdr:col>3</xdr:col>
      <xdr:colOff>769083</xdr:colOff>
      <xdr:row>35</xdr:row>
      <xdr:rowOff>111315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8F8F5CE0-3BAD-1389-DB4B-F0F0CD95E937}"/>
            </a:ext>
          </a:extLst>
        </xdr:cNvPr>
        <xdr:cNvCxnSpPr/>
      </xdr:nvCxnSpPr>
      <xdr:spPr>
        <a:xfrm>
          <a:off x="11022947291" y="6785139"/>
          <a:ext cx="5060" cy="40984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399721</xdr:colOff>
      <xdr:row>35</xdr:row>
      <xdr:rowOff>116375</xdr:rowOff>
    </xdr:from>
    <xdr:to>
      <xdr:col>3</xdr:col>
      <xdr:colOff>774143</xdr:colOff>
      <xdr:row>35</xdr:row>
      <xdr:rowOff>116375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6AD6141-3197-BB46-BFEB-B1651579DCED}"/>
            </a:ext>
          </a:extLst>
        </xdr:cNvPr>
        <xdr:cNvCxnSpPr/>
      </xdr:nvCxnSpPr>
      <xdr:spPr>
        <a:xfrm>
          <a:off x="11022942231" y="7200040"/>
          <a:ext cx="37442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435140</xdr:colOff>
      <xdr:row>44</xdr:row>
      <xdr:rowOff>202390</xdr:rowOff>
    </xdr:from>
    <xdr:to>
      <xdr:col>8</xdr:col>
      <xdr:colOff>40477</xdr:colOff>
      <xdr:row>46</xdr:row>
      <xdr:rowOff>65777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182C2A5-63F9-10D5-5ED3-43ED2D361463}"/>
            </a:ext>
          </a:extLst>
        </xdr:cNvPr>
        <xdr:cNvCxnSpPr/>
      </xdr:nvCxnSpPr>
      <xdr:spPr>
        <a:xfrm flipH="1">
          <a:off x="11020159363" y="9137928"/>
          <a:ext cx="278286" cy="26816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566694</xdr:colOff>
      <xdr:row>45</xdr:row>
      <xdr:rowOff>15179</xdr:rowOff>
    </xdr:from>
    <xdr:to>
      <xdr:col>7</xdr:col>
      <xdr:colOff>121434</xdr:colOff>
      <xdr:row>48</xdr:row>
      <xdr:rowOff>116374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CB36F55F-F04F-80B6-E6A7-F204A16D4AF0}"/>
            </a:ext>
          </a:extLst>
        </xdr:cNvPr>
        <xdr:cNvCxnSpPr/>
      </xdr:nvCxnSpPr>
      <xdr:spPr>
        <a:xfrm flipH="1">
          <a:off x="11020751355" y="9153107"/>
          <a:ext cx="227688" cy="708367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976533</xdr:colOff>
      <xdr:row>39</xdr:row>
      <xdr:rowOff>202391</xdr:rowOff>
    </xdr:from>
    <xdr:to>
      <xdr:col>3</xdr:col>
      <xdr:colOff>617290</xdr:colOff>
      <xdr:row>41</xdr:row>
      <xdr:rowOff>20239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CDE15AFB-43CC-A660-7534-E9D570ABB8B6}"/>
            </a:ext>
          </a:extLst>
        </xdr:cNvPr>
        <xdr:cNvSpPr/>
      </xdr:nvSpPr>
      <xdr:spPr>
        <a:xfrm>
          <a:off x="11023099084" y="8110797"/>
          <a:ext cx="617291" cy="237809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10118</xdr:colOff>
      <xdr:row>44</xdr:row>
      <xdr:rowOff>182150</xdr:rowOff>
    </xdr:from>
    <xdr:to>
      <xdr:col>3</xdr:col>
      <xdr:colOff>627409</xdr:colOff>
      <xdr:row>46</xdr:row>
      <xdr:rowOff>15178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6F7BF39A-A349-5AAF-188E-BB263AA9DA01}"/>
            </a:ext>
          </a:extLst>
        </xdr:cNvPr>
        <xdr:cNvSpPr/>
      </xdr:nvSpPr>
      <xdr:spPr>
        <a:xfrm>
          <a:off x="11023088965" y="9117688"/>
          <a:ext cx="617291" cy="237809"/>
        </a:xfrm>
        <a:prstGeom prst="rect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561633</xdr:colOff>
      <xdr:row>40</xdr:row>
      <xdr:rowOff>106255</xdr:rowOff>
    </xdr:from>
    <xdr:to>
      <xdr:col>3</xdr:col>
      <xdr:colOff>799441</xdr:colOff>
      <xdr:row>45</xdr:row>
      <xdr:rowOff>86016</xdr:rowOff>
    </xdr:to>
    <xdr:sp macro="" textlink="">
      <xdr:nvSpPr>
        <xdr:cNvPr id="23" name="Left Brace 22">
          <a:extLst>
            <a:ext uri="{FF2B5EF4-FFF2-40B4-BE49-F238E27FC236}">
              <a16:creationId xmlns:a16="http://schemas.microsoft.com/office/drawing/2014/main" id="{7D01A495-017B-A748-9336-9557E3DB70FE}"/>
            </a:ext>
          </a:extLst>
        </xdr:cNvPr>
        <xdr:cNvSpPr/>
      </xdr:nvSpPr>
      <xdr:spPr>
        <a:xfrm>
          <a:off x="11022916933" y="8232231"/>
          <a:ext cx="237808" cy="991713"/>
        </a:xfrm>
        <a:prstGeom prst="leftBrace">
          <a:avLst>
            <a:gd name="adj1" fmla="val 8333"/>
            <a:gd name="adj2" fmla="val 100000"/>
          </a:avLst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799441</xdr:colOff>
      <xdr:row>45</xdr:row>
      <xdr:rowOff>86016</xdr:rowOff>
    </xdr:from>
    <xdr:to>
      <xdr:col>3</xdr:col>
      <xdr:colOff>804501</xdr:colOff>
      <xdr:row>47</xdr:row>
      <xdr:rowOff>91076</xdr:rowOff>
    </xdr:to>
    <xdr:cxnSp macro="">
      <xdr:nvCxnSpPr>
        <xdr:cNvPr id="24" name="Straight Connector 23">
          <a:extLst>
            <a:ext uri="{FF2B5EF4-FFF2-40B4-BE49-F238E27FC236}">
              <a16:creationId xmlns:a16="http://schemas.microsoft.com/office/drawing/2014/main" id="{6BBDB193-A935-A9D0-3C0F-2163D0532829}"/>
            </a:ext>
          </a:extLst>
        </xdr:cNvPr>
        <xdr:cNvCxnSpPr/>
      </xdr:nvCxnSpPr>
      <xdr:spPr>
        <a:xfrm>
          <a:off x="11022911873" y="9223944"/>
          <a:ext cx="5060" cy="409841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435139</xdr:colOff>
      <xdr:row>47</xdr:row>
      <xdr:rowOff>96136</xdr:rowOff>
    </xdr:from>
    <xdr:to>
      <xdr:col>3</xdr:col>
      <xdr:colOff>809561</xdr:colOff>
      <xdr:row>47</xdr:row>
      <xdr:rowOff>96136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FC8BA3B9-1BAA-5C4F-755F-96AA15BB8A77}"/>
            </a:ext>
          </a:extLst>
        </xdr:cNvPr>
        <xdr:cNvCxnSpPr/>
      </xdr:nvCxnSpPr>
      <xdr:spPr>
        <a:xfrm>
          <a:off x="11022906813" y="9638845"/>
          <a:ext cx="374422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142874</xdr:colOff>
      <xdr:row>92</xdr:row>
      <xdr:rowOff>85725</xdr:rowOff>
    </xdr:from>
    <xdr:to>
      <xdr:col>2</xdr:col>
      <xdr:colOff>676274</xdr:colOff>
      <xdr:row>96</xdr:row>
      <xdr:rowOff>0</xdr:rowOff>
    </xdr:to>
    <xdr:sp macro="" textlink="">
      <xdr:nvSpPr>
        <xdr:cNvPr id="2" name="קשת 1">
          <a:extLst>
            <a:ext uri="{FF2B5EF4-FFF2-40B4-BE49-F238E27FC236}">
              <a16:creationId xmlns:a16="http://schemas.microsoft.com/office/drawing/2014/main" id="{5A1718CD-5E1F-4D34-9CE6-88434A9F7CDB}"/>
            </a:ext>
          </a:extLst>
        </xdr:cNvPr>
        <xdr:cNvSpPr/>
      </xdr:nvSpPr>
      <xdr:spPr>
        <a:xfrm rot="12531760">
          <a:off x="11130829276" y="7877175"/>
          <a:ext cx="533400" cy="701675"/>
        </a:xfrm>
        <a:prstGeom prst="arc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1" anchor="t"/>
        <a:lstStyle/>
        <a:p>
          <a:pPr algn="r" rtl="1"/>
          <a:endParaRPr lang="he-IL" sz="1100"/>
        </a:p>
      </xdr:txBody>
    </xdr:sp>
    <xdr:clientData/>
  </xdr:twoCellAnchor>
  <xdr:twoCellAnchor editAs="oneCell">
    <xdr:from>
      <xdr:col>4</xdr:col>
      <xdr:colOff>427384</xdr:colOff>
      <xdr:row>36</xdr:row>
      <xdr:rowOff>97245</xdr:rowOff>
    </xdr:from>
    <xdr:to>
      <xdr:col>11</xdr:col>
      <xdr:colOff>325067</xdr:colOff>
      <xdr:row>46</xdr:row>
      <xdr:rowOff>28669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DEFFDF-25B1-B4ED-74AC-0998E121E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00218288" y="2182503"/>
          <a:ext cx="5215296" cy="1979811"/>
        </a:xfrm>
        <a:prstGeom prst="rect">
          <a:avLst/>
        </a:prstGeom>
      </xdr:spPr>
    </xdr:pic>
    <xdr:clientData/>
  </xdr:twoCellAnchor>
  <xdr:twoCellAnchor editAs="oneCell">
    <xdr:from>
      <xdr:col>4</xdr:col>
      <xdr:colOff>881427</xdr:colOff>
      <xdr:row>104</xdr:row>
      <xdr:rowOff>127000</xdr:rowOff>
    </xdr:from>
    <xdr:to>
      <xdr:col>6</xdr:col>
      <xdr:colOff>253204</xdr:colOff>
      <xdr:row>110</xdr:row>
      <xdr:rowOff>130969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38891C-2F23-1578-0362-2DAB4EC0A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49929483" y="13200063"/>
          <a:ext cx="1173590" cy="1218405"/>
        </a:xfrm>
        <a:prstGeom prst="rect">
          <a:avLst/>
        </a:prstGeom>
      </xdr:spPr>
    </xdr:pic>
    <xdr:clientData/>
  </xdr:twoCellAnchor>
  <xdr:twoCellAnchor editAs="oneCell">
    <xdr:from>
      <xdr:col>6</xdr:col>
      <xdr:colOff>491434</xdr:colOff>
      <xdr:row>140</xdr:row>
      <xdr:rowOff>104238</xdr:rowOff>
    </xdr:from>
    <xdr:to>
      <xdr:col>14</xdr:col>
      <xdr:colOff>180008</xdr:colOff>
      <xdr:row>154</xdr:row>
      <xdr:rowOff>43393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28C156-3680-1D3F-AA5F-DC2F52657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27506078" y="20672716"/>
          <a:ext cx="5232401" cy="2796806"/>
        </a:xfrm>
        <a:prstGeom prst="rect">
          <a:avLst/>
        </a:prstGeom>
      </xdr:spPr>
    </xdr:pic>
    <xdr:clientData/>
  </xdr:twoCellAnchor>
  <xdr:twoCellAnchor editAs="oneCell">
    <xdr:from>
      <xdr:col>4</xdr:col>
      <xdr:colOff>719148</xdr:colOff>
      <xdr:row>174</xdr:row>
      <xdr:rowOff>53258</xdr:rowOff>
    </xdr:from>
    <xdr:to>
      <xdr:col>6</xdr:col>
      <xdr:colOff>49162</xdr:colOff>
      <xdr:row>180</xdr:row>
      <xdr:rowOff>111752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E485FDE-E786-2956-600D-619D178E17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04009226" y="27673710"/>
          <a:ext cx="1132594" cy="1287525"/>
        </a:xfrm>
        <a:prstGeom prst="rect">
          <a:avLst/>
        </a:prstGeom>
      </xdr:spPr>
    </xdr:pic>
    <xdr:clientData/>
  </xdr:twoCellAnchor>
  <xdr:twoCellAnchor editAs="oneCell">
    <xdr:from>
      <xdr:col>6</xdr:col>
      <xdr:colOff>278582</xdr:colOff>
      <xdr:row>259</xdr:row>
      <xdr:rowOff>90129</xdr:rowOff>
    </xdr:from>
    <xdr:to>
      <xdr:col>12</xdr:col>
      <xdr:colOff>144206</xdr:colOff>
      <xdr:row>270</xdr:row>
      <xdr:rowOff>158388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467E794-5981-A8C9-677C-D9B2282B8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99727278" y="45121871"/>
          <a:ext cx="4052528" cy="2358355"/>
        </a:xfrm>
        <a:prstGeom prst="rect">
          <a:avLst/>
        </a:prstGeom>
      </xdr:spPr>
    </xdr:pic>
    <xdr:clientData/>
  </xdr:twoCellAnchor>
  <xdr:twoCellAnchor editAs="oneCell">
    <xdr:from>
      <xdr:col>0</xdr:col>
      <xdr:colOff>172911</xdr:colOff>
      <xdr:row>1</xdr:row>
      <xdr:rowOff>49821</xdr:rowOff>
    </xdr:from>
    <xdr:to>
      <xdr:col>8</xdr:col>
      <xdr:colOff>15264</xdr:colOff>
      <xdr:row>17</xdr:row>
      <xdr:rowOff>140292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5583317-D37F-F5B7-C78C-1809A1991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33410839" y="252544"/>
          <a:ext cx="6186391" cy="3334039"/>
        </a:xfrm>
        <a:prstGeom prst="rect">
          <a:avLst/>
        </a:prstGeom>
      </xdr:spPr>
    </xdr:pic>
    <xdr:clientData/>
  </xdr:twoCellAnchor>
  <xdr:twoCellAnchor>
    <xdr:from>
      <xdr:col>3</xdr:col>
      <xdr:colOff>4704</xdr:colOff>
      <xdr:row>38</xdr:row>
      <xdr:rowOff>112889</xdr:rowOff>
    </xdr:from>
    <xdr:to>
      <xdr:col>4</xdr:col>
      <xdr:colOff>150519</xdr:colOff>
      <xdr:row>40</xdr:row>
      <xdr:rowOff>183444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F15BE469-0414-ADCB-4F31-CCDC97F08CFA}"/>
            </a:ext>
          </a:extLst>
        </xdr:cNvPr>
        <xdr:cNvCxnSpPr/>
      </xdr:nvCxnSpPr>
      <xdr:spPr>
        <a:xfrm flipH="1">
          <a:off x="11018134296" y="7836370"/>
          <a:ext cx="973667" cy="47507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136408</xdr:colOff>
      <xdr:row>40</xdr:row>
      <xdr:rowOff>178741</xdr:rowOff>
    </xdr:from>
    <xdr:to>
      <xdr:col>4</xdr:col>
      <xdr:colOff>686741</xdr:colOff>
      <xdr:row>47</xdr:row>
      <xdr:rowOff>65852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5A8257B5-2143-4826-F4B0-44D155FA15BD}"/>
            </a:ext>
          </a:extLst>
        </xdr:cNvPr>
        <xdr:cNvCxnSpPr/>
      </xdr:nvCxnSpPr>
      <xdr:spPr>
        <a:xfrm flipH="1">
          <a:off x="11017598074" y="8306741"/>
          <a:ext cx="550333" cy="1302926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437445</xdr:colOff>
      <xdr:row>47</xdr:row>
      <xdr:rowOff>61148</xdr:rowOff>
    </xdr:from>
    <xdr:to>
      <xdr:col>4</xdr:col>
      <xdr:colOff>672630</xdr:colOff>
      <xdr:row>48</xdr:row>
      <xdr:rowOff>61148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CF7371F6-FDF8-3551-9083-71B5AFA2E85F}"/>
            </a:ext>
          </a:extLst>
        </xdr:cNvPr>
        <xdr:cNvCxnSpPr/>
      </xdr:nvCxnSpPr>
      <xdr:spPr>
        <a:xfrm>
          <a:off x="11017612185" y="9604963"/>
          <a:ext cx="235185" cy="202259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428037</xdr:colOff>
      <xdr:row>65</xdr:row>
      <xdr:rowOff>108185</xdr:rowOff>
    </xdr:from>
    <xdr:to>
      <xdr:col>6</xdr:col>
      <xdr:colOff>249296</xdr:colOff>
      <xdr:row>65</xdr:row>
      <xdr:rowOff>117593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B50AC77-297A-DDD1-C4CC-FFDF180F13A1}"/>
            </a:ext>
          </a:extLst>
        </xdr:cNvPr>
        <xdr:cNvCxnSpPr/>
      </xdr:nvCxnSpPr>
      <xdr:spPr>
        <a:xfrm flipH="1">
          <a:off x="11016234000" y="13330296"/>
          <a:ext cx="606778" cy="940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272815</xdr:colOff>
      <xdr:row>62</xdr:row>
      <xdr:rowOff>94074</xdr:rowOff>
    </xdr:from>
    <xdr:to>
      <xdr:col>6</xdr:col>
      <xdr:colOff>790222</xdr:colOff>
      <xdr:row>65</xdr:row>
      <xdr:rowOff>28222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724319FE-C908-7145-B40D-3367BF2037AF}"/>
            </a:ext>
          </a:extLst>
        </xdr:cNvPr>
        <xdr:cNvCxnSpPr/>
      </xdr:nvCxnSpPr>
      <xdr:spPr>
        <a:xfrm flipH="1" flipV="1">
          <a:off x="11015693074" y="12709407"/>
          <a:ext cx="517407" cy="54092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258704</xdr:colOff>
      <xdr:row>64</xdr:row>
      <xdr:rowOff>141654</xdr:rowOff>
    </xdr:from>
    <xdr:to>
      <xdr:col>6</xdr:col>
      <xdr:colOff>752231</xdr:colOff>
      <xdr:row>65</xdr:row>
      <xdr:rowOff>127000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E8D5263C-C9A7-4046-B54B-53BF0E30652A}"/>
            </a:ext>
          </a:extLst>
        </xdr:cNvPr>
        <xdr:cNvCxnSpPr/>
      </xdr:nvCxnSpPr>
      <xdr:spPr>
        <a:xfrm flipH="1" flipV="1">
          <a:off x="11039431038" y="13339885"/>
          <a:ext cx="493527" cy="1905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278423</xdr:colOff>
      <xdr:row>65</xdr:row>
      <xdr:rowOff>175845</xdr:rowOff>
    </xdr:from>
    <xdr:to>
      <xdr:col>6</xdr:col>
      <xdr:colOff>791309</xdr:colOff>
      <xdr:row>66</xdr:row>
      <xdr:rowOff>117231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0DC6695E-9DD9-4593-1E38-485773118816}"/>
            </a:ext>
          </a:extLst>
        </xdr:cNvPr>
        <xdr:cNvCxnSpPr/>
      </xdr:nvCxnSpPr>
      <xdr:spPr>
        <a:xfrm flipH="1">
          <a:off x="11039391960" y="13579230"/>
          <a:ext cx="512886" cy="1465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122116</xdr:colOff>
      <xdr:row>66</xdr:row>
      <xdr:rowOff>195386</xdr:rowOff>
    </xdr:from>
    <xdr:to>
      <xdr:col>10</xdr:col>
      <xdr:colOff>141655</xdr:colOff>
      <xdr:row>68</xdr:row>
      <xdr:rowOff>83039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C5DEEDA6-6DF2-910A-1BEA-BE3DAD1C0165}"/>
            </a:ext>
          </a:extLst>
        </xdr:cNvPr>
        <xdr:cNvCxnSpPr/>
      </xdr:nvCxnSpPr>
      <xdr:spPr>
        <a:xfrm flipH="1">
          <a:off x="11037193884" y="13803924"/>
          <a:ext cx="19539" cy="297961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185615</xdr:colOff>
      <xdr:row>66</xdr:row>
      <xdr:rowOff>195386</xdr:rowOff>
    </xdr:from>
    <xdr:to>
      <xdr:col>9</xdr:col>
      <xdr:colOff>200269</xdr:colOff>
      <xdr:row>69</xdr:row>
      <xdr:rowOff>92808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7B6AC093-8979-873A-1D3C-B71E1C0EFCE3}"/>
            </a:ext>
          </a:extLst>
        </xdr:cNvPr>
        <xdr:cNvCxnSpPr/>
      </xdr:nvCxnSpPr>
      <xdr:spPr>
        <a:xfrm flipH="1">
          <a:off x="11037809346" y="13803924"/>
          <a:ext cx="14654" cy="512884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395654</xdr:colOff>
      <xdr:row>71</xdr:row>
      <xdr:rowOff>131884</xdr:rowOff>
    </xdr:from>
    <xdr:to>
      <xdr:col>8</xdr:col>
      <xdr:colOff>654538</xdr:colOff>
      <xdr:row>71</xdr:row>
      <xdr:rowOff>131884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0F8BD68D-DEB6-5604-968F-4256B0D67207}"/>
            </a:ext>
          </a:extLst>
        </xdr:cNvPr>
        <xdr:cNvCxnSpPr/>
      </xdr:nvCxnSpPr>
      <xdr:spPr>
        <a:xfrm>
          <a:off x="11038029154" y="14766192"/>
          <a:ext cx="25888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537308</xdr:colOff>
      <xdr:row>71</xdr:row>
      <xdr:rowOff>136768</xdr:rowOff>
    </xdr:from>
    <xdr:to>
      <xdr:col>6</xdr:col>
      <xdr:colOff>796192</xdr:colOff>
      <xdr:row>71</xdr:row>
      <xdr:rowOff>136768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0B117F3B-6439-8E92-F7A3-14EFBC1DE7FA}"/>
            </a:ext>
          </a:extLst>
        </xdr:cNvPr>
        <xdr:cNvCxnSpPr/>
      </xdr:nvCxnSpPr>
      <xdr:spPr>
        <a:xfrm>
          <a:off x="11039387077" y="14771076"/>
          <a:ext cx="25888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366346</xdr:colOff>
      <xdr:row>71</xdr:row>
      <xdr:rowOff>146537</xdr:rowOff>
    </xdr:from>
    <xdr:to>
      <xdr:col>2</xdr:col>
      <xdr:colOff>625230</xdr:colOff>
      <xdr:row>71</xdr:row>
      <xdr:rowOff>146537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294E469-461E-00E5-5C06-83D0D2274150}"/>
            </a:ext>
          </a:extLst>
        </xdr:cNvPr>
        <xdr:cNvCxnSpPr/>
      </xdr:nvCxnSpPr>
      <xdr:spPr>
        <a:xfrm>
          <a:off x="11042860039" y="14780845"/>
          <a:ext cx="258884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457201</xdr:colOff>
      <xdr:row>15</xdr:row>
      <xdr:rowOff>85725</xdr:rowOff>
    </xdr:from>
    <xdr:to>
      <xdr:col>2</xdr:col>
      <xdr:colOff>609601</xdr:colOff>
      <xdr:row>19</xdr:row>
      <xdr:rowOff>28575</xdr:rowOff>
    </xdr:to>
    <xdr:sp macro="" textlink="">
      <xdr:nvSpPr>
        <xdr:cNvPr id="2" name="קשת 1">
          <a:extLst>
            <a:ext uri="{FF2B5EF4-FFF2-40B4-BE49-F238E27FC236}">
              <a16:creationId xmlns:a16="http://schemas.microsoft.com/office/drawing/2014/main" id="{899D33E0-5020-4983-B36F-6A9E19797E68}"/>
            </a:ext>
          </a:extLst>
        </xdr:cNvPr>
        <xdr:cNvSpPr/>
      </xdr:nvSpPr>
      <xdr:spPr>
        <a:xfrm rot="11086391">
          <a:off x="11130292699" y="2879725"/>
          <a:ext cx="152400" cy="730250"/>
        </a:xfrm>
        <a:prstGeom prst="arc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1" anchor="t"/>
        <a:lstStyle/>
        <a:p>
          <a:pPr algn="r" rtl="1"/>
          <a:endParaRPr lang="he-IL" sz="1100"/>
        </a:p>
      </xdr:txBody>
    </xdr:sp>
    <xdr:clientData/>
  </xdr:twoCellAnchor>
  <xdr:twoCellAnchor editAs="oneCell">
    <xdr:from>
      <xdr:col>9</xdr:col>
      <xdr:colOff>219976</xdr:colOff>
      <xdr:row>7</xdr:row>
      <xdr:rowOff>188276</xdr:rowOff>
    </xdr:from>
    <xdr:to>
      <xdr:col>20</xdr:col>
      <xdr:colOff>159855</xdr:colOff>
      <xdr:row>30</xdr:row>
      <xdr:rowOff>169261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85B2AE-1843-DAEC-1275-F2B1D879D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1592891" y="1627952"/>
          <a:ext cx="7777213" cy="4767908"/>
        </a:xfrm>
        <a:prstGeom prst="rect">
          <a:avLst/>
        </a:prstGeom>
      </xdr:spPr>
    </xdr:pic>
    <xdr:clientData/>
  </xdr:twoCellAnchor>
  <xdr:twoCellAnchor>
    <xdr:from>
      <xdr:col>3</xdr:col>
      <xdr:colOff>476841</xdr:colOff>
      <xdr:row>6</xdr:row>
      <xdr:rowOff>184127</xdr:rowOff>
    </xdr:from>
    <xdr:to>
      <xdr:col>3</xdr:col>
      <xdr:colOff>623198</xdr:colOff>
      <xdr:row>7</xdr:row>
      <xdr:rowOff>136915</xdr:rowOff>
    </xdr:to>
    <xdr:sp macro="" textlink="">
      <xdr:nvSpPr>
        <xdr:cNvPr id="4" name="Rounded Rectangle 3">
          <a:extLst>
            <a:ext uri="{FF2B5EF4-FFF2-40B4-BE49-F238E27FC236}">
              <a16:creationId xmlns:a16="http://schemas.microsoft.com/office/drawing/2014/main" id="{D77DFE72-6283-4FCA-28F5-7318A40850AA}"/>
            </a:ext>
          </a:extLst>
        </xdr:cNvPr>
        <xdr:cNvSpPr/>
      </xdr:nvSpPr>
      <xdr:spPr>
        <a:xfrm>
          <a:off x="11058683159" y="1402194"/>
          <a:ext cx="146357" cy="15579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5</xdr:col>
      <xdr:colOff>533494</xdr:colOff>
      <xdr:row>6</xdr:row>
      <xdr:rowOff>198290</xdr:rowOff>
    </xdr:from>
    <xdr:to>
      <xdr:col>6</xdr:col>
      <xdr:colOff>4721</xdr:colOff>
      <xdr:row>7</xdr:row>
      <xdr:rowOff>151078</xdr:rowOff>
    </xdr:to>
    <xdr:sp macro="" textlink="">
      <xdr:nvSpPr>
        <xdr:cNvPr id="5" name="Rounded Rectangle 4">
          <a:extLst>
            <a:ext uri="{FF2B5EF4-FFF2-40B4-BE49-F238E27FC236}">
              <a16:creationId xmlns:a16="http://schemas.microsoft.com/office/drawing/2014/main" id="{7FC9B0C9-6D03-D42D-2D3C-570F9E027142}"/>
            </a:ext>
          </a:extLst>
        </xdr:cNvPr>
        <xdr:cNvSpPr/>
      </xdr:nvSpPr>
      <xdr:spPr>
        <a:xfrm>
          <a:off x="11057276245" y="1416357"/>
          <a:ext cx="146357" cy="15579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4</xdr:col>
      <xdr:colOff>472119</xdr:colOff>
      <xdr:row>6</xdr:row>
      <xdr:rowOff>193569</xdr:rowOff>
    </xdr:from>
    <xdr:to>
      <xdr:col>4</xdr:col>
      <xdr:colOff>618476</xdr:colOff>
      <xdr:row>7</xdr:row>
      <xdr:rowOff>146357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2A0FFE76-BE04-DCAF-1608-CBD920BF9703}"/>
            </a:ext>
          </a:extLst>
        </xdr:cNvPr>
        <xdr:cNvSpPr/>
      </xdr:nvSpPr>
      <xdr:spPr>
        <a:xfrm>
          <a:off x="11058012751" y="1411636"/>
          <a:ext cx="146357" cy="15579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4</xdr:col>
      <xdr:colOff>528774</xdr:colOff>
      <xdr:row>8</xdr:row>
      <xdr:rowOff>9443</xdr:rowOff>
    </xdr:from>
    <xdr:to>
      <xdr:col>4</xdr:col>
      <xdr:colOff>675131</xdr:colOff>
      <xdr:row>8</xdr:row>
      <xdr:rowOff>165242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863A95C6-A709-FB06-3F7D-3E60B463CCBF}"/>
            </a:ext>
          </a:extLst>
        </xdr:cNvPr>
        <xdr:cNvSpPr/>
      </xdr:nvSpPr>
      <xdr:spPr>
        <a:xfrm>
          <a:off x="11058168550" y="1633532"/>
          <a:ext cx="146357" cy="15579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3</xdr:col>
      <xdr:colOff>519331</xdr:colOff>
      <xdr:row>16</xdr:row>
      <xdr:rowOff>9443</xdr:rowOff>
    </xdr:from>
    <xdr:to>
      <xdr:col>3</xdr:col>
      <xdr:colOff>665688</xdr:colOff>
      <xdr:row>16</xdr:row>
      <xdr:rowOff>165242</xdr:rowOff>
    </xdr:to>
    <xdr:sp macro="" textlink="">
      <xdr:nvSpPr>
        <xdr:cNvPr id="8" name="Rounded Rectangle 7">
          <a:extLst>
            <a:ext uri="{FF2B5EF4-FFF2-40B4-BE49-F238E27FC236}">
              <a16:creationId xmlns:a16="http://schemas.microsoft.com/office/drawing/2014/main" id="{EA2B0B97-44E4-AEF5-EAD7-8778A32CE0B8}"/>
            </a:ext>
          </a:extLst>
        </xdr:cNvPr>
        <xdr:cNvSpPr/>
      </xdr:nvSpPr>
      <xdr:spPr>
        <a:xfrm>
          <a:off x="11058853123" y="3295391"/>
          <a:ext cx="146357" cy="15579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3</xdr:col>
      <xdr:colOff>642082</xdr:colOff>
      <xdr:row>13</xdr:row>
      <xdr:rowOff>84983</xdr:rowOff>
    </xdr:from>
    <xdr:to>
      <xdr:col>4</xdr:col>
      <xdr:colOff>113309</xdr:colOff>
      <xdr:row>14</xdr:row>
      <xdr:rowOff>37770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BFFEB908-A804-F4AF-AE8C-46CA5FA54AFA}"/>
            </a:ext>
          </a:extLst>
        </xdr:cNvPr>
        <xdr:cNvSpPr/>
      </xdr:nvSpPr>
      <xdr:spPr>
        <a:xfrm>
          <a:off x="11058730372" y="2761897"/>
          <a:ext cx="146357" cy="15579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8</xdr:col>
      <xdr:colOff>391859</xdr:colOff>
      <xdr:row>22</xdr:row>
      <xdr:rowOff>47212</xdr:rowOff>
    </xdr:from>
    <xdr:to>
      <xdr:col>8</xdr:col>
      <xdr:colOff>391859</xdr:colOff>
      <xdr:row>23</xdr:row>
      <xdr:rowOff>66097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891FD6C-D1E3-9F4B-4594-88EB5723CAEF}"/>
            </a:ext>
          </a:extLst>
        </xdr:cNvPr>
        <xdr:cNvCxnSpPr/>
      </xdr:nvCxnSpPr>
      <xdr:spPr>
        <a:xfrm>
          <a:off x="11055538848" y="4551227"/>
          <a:ext cx="0" cy="221896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486283</xdr:colOff>
      <xdr:row>22</xdr:row>
      <xdr:rowOff>1</xdr:rowOff>
    </xdr:from>
    <xdr:to>
      <xdr:col>7</xdr:col>
      <xdr:colOff>491004</xdr:colOff>
      <xdr:row>26</xdr:row>
      <xdr:rowOff>23606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19AA1748-E2DA-2FF3-9B2E-11337BA3DFF9}"/>
            </a:ext>
          </a:extLst>
        </xdr:cNvPr>
        <xdr:cNvCxnSpPr/>
      </xdr:nvCxnSpPr>
      <xdr:spPr>
        <a:xfrm>
          <a:off x="11056114833" y="4504016"/>
          <a:ext cx="4721" cy="63263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387138</xdr:colOff>
      <xdr:row>22</xdr:row>
      <xdr:rowOff>1</xdr:rowOff>
    </xdr:from>
    <xdr:to>
      <xdr:col>6</xdr:col>
      <xdr:colOff>642082</xdr:colOff>
      <xdr:row>23</xdr:row>
      <xdr:rowOff>169963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A773401-E31C-9CD9-4835-EF6FF3D83960}"/>
            </a:ext>
          </a:extLst>
        </xdr:cNvPr>
        <xdr:cNvCxnSpPr/>
      </xdr:nvCxnSpPr>
      <xdr:spPr>
        <a:xfrm>
          <a:off x="11056638885" y="4504016"/>
          <a:ext cx="254944" cy="372973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538216</xdr:colOff>
      <xdr:row>9</xdr:row>
      <xdr:rowOff>18885</xdr:rowOff>
    </xdr:from>
    <xdr:to>
      <xdr:col>4</xdr:col>
      <xdr:colOff>684573</xdr:colOff>
      <xdr:row>9</xdr:row>
      <xdr:rowOff>174684</xdr:rowOff>
    </xdr:to>
    <xdr:sp macro="" textlink="">
      <xdr:nvSpPr>
        <xdr:cNvPr id="17" name="Rounded Rectangle 16">
          <a:extLst>
            <a:ext uri="{FF2B5EF4-FFF2-40B4-BE49-F238E27FC236}">
              <a16:creationId xmlns:a16="http://schemas.microsoft.com/office/drawing/2014/main" id="{2D18980F-78C6-5AEA-7AFF-C488F1C8F67C}"/>
            </a:ext>
          </a:extLst>
        </xdr:cNvPr>
        <xdr:cNvSpPr/>
      </xdr:nvSpPr>
      <xdr:spPr>
        <a:xfrm>
          <a:off x="11058159108" y="1845985"/>
          <a:ext cx="146357" cy="15579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3</xdr:col>
      <xdr:colOff>524052</xdr:colOff>
      <xdr:row>20</xdr:row>
      <xdr:rowOff>33047</xdr:rowOff>
    </xdr:from>
    <xdr:to>
      <xdr:col>3</xdr:col>
      <xdr:colOff>670409</xdr:colOff>
      <xdr:row>20</xdr:row>
      <xdr:rowOff>188846</xdr:rowOff>
    </xdr:to>
    <xdr:sp macro="" textlink="">
      <xdr:nvSpPr>
        <xdr:cNvPr id="18" name="Rounded Rectangle 17">
          <a:extLst>
            <a:ext uri="{FF2B5EF4-FFF2-40B4-BE49-F238E27FC236}">
              <a16:creationId xmlns:a16="http://schemas.microsoft.com/office/drawing/2014/main" id="{181A8D36-D1E1-5615-25FA-64A80752C2A0}"/>
            </a:ext>
          </a:extLst>
        </xdr:cNvPr>
        <xdr:cNvSpPr/>
      </xdr:nvSpPr>
      <xdr:spPr>
        <a:xfrm>
          <a:off x="11058848402" y="4131040"/>
          <a:ext cx="146357" cy="15579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9</xdr:col>
      <xdr:colOff>249101</xdr:colOff>
      <xdr:row>72</xdr:row>
      <xdr:rowOff>28585</xdr:rowOff>
    </xdr:from>
    <xdr:to>
      <xdr:col>9</xdr:col>
      <xdr:colOff>473699</xdr:colOff>
      <xdr:row>73</xdr:row>
      <xdr:rowOff>134759</xdr:rowOff>
    </xdr:to>
    <xdr:sp macro="" textlink="">
      <xdr:nvSpPr>
        <xdr:cNvPr id="19" name="Down Arrow 18">
          <a:extLst>
            <a:ext uri="{FF2B5EF4-FFF2-40B4-BE49-F238E27FC236}">
              <a16:creationId xmlns:a16="http://schemas.microsoft.com/office/drawing/2014/main" id="{BB391116-91B8-E79A-51C6-84E39AC0C31D}"/>
            </a:ext>
          </a:extLst>
        </xdr:cNvPr>
        <xdr:cNvSpPr/>
      </xdr:nvSpPr>
      <xdr:spPr>
        <a:xfrm>
          <a:off x="11032906527" y="14901061"/>
          <a:ext cx="224598" cy="31035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384541</xdr:colOff>
      <xdr:row>102</xdr:row>
      <xdr:rowOff>141673</xdr:rowOff>
    </xdr:from>
    <xdr:to>
      <xdr:col>14</xdr:col>
      <xdr:colOff>0</xdr:colOff>
      <xdr:row>113</xdr:row>
      <xdr:rowOff>75897</xdr:rowOff>
    </xdr:to>
    <xdr:sp macro="" textlink="">
      <xdr:nvSpPr>
        <xdr:cNvPr id="21" name="Rounded Rectangular Callout 20">
          <a:extLst>
            <a:ext uri="{FF2B5EF4-FFF2-40B4-BE49-F238E27FC236}">
              <a16:creationId xmlns:a16="http://schemas.microsoft.com/office/drawing/2014/main" id="{74F705FE-FE23-32CB-3FA1-E76476FBC692}"/>
            </a:ext>
          </a:extLst>
        </xdr:cNvPr>
        <xdr:cNvSpPr/>
      </xdr:nvSpPr>
      <xdr:spPr>
        <a:xfrm>
          <a:off x="11015271634" y="20977769"/>
          <a:ext cx="5889562" cy="2605777"/>
        </a:xfrm>
        <a:prstGeom prst="wedgeRoundRectCallout">
          <a:avLst>
            <a:gd name="adj1" fmla="val 56554"/>
            <a:gd name="adj2" fmla="val 2876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על פי הנתון:</a:t>
          </a:r>
        </a:p>
        <a:p>
          <a:pPr algn="r" rtl="1"/>
          <a:r>
            <a:rPr lang="he-IL" sz="1100"/>
            <a:t>השווי ההוגן של המכונה לליטוש ציפורניים:                    230,000</a:t>
          </a:r>
        </a:p>
        <a:p>
          <a:pPr algn="r" rtl="1"/>
          <a:r>
            <a:rPr lang="he-IL" sz="1100"/>
            <a:t>לצד זאת, הסכום בר ההשבה שעליו מתבססת ההקצאה:</a:t>
          </a:r>
          <a:r>
            <a:rPr lang="he-IL" sz="1100" baseline="0"/>
            <a:t> 285,714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כדי להכיר בירידה נוספת מ-285,714 ל-230,000 נדרש שיתקיים מצב שבו מכירת הפריט צפויה. וזאת משום שעקרונית, עלינו לבחור בערך ספרים שהוא הגבוה מבין הסכום המוקצה לפי סב״ה לבין השווי ההוגן הספציפי.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אז תכל׳ס: </a:t>
          </a:r>
        </a:p>
        <a:p>
          <a:pPr algn="r" rtl="1"/>
          <a:r>
            <a:rPr lang="he-IL" sz="1100" baseline="0"/>
            <a:t>אני מבצע הקצאה לפי י״ע שמצאתי,</a:t>
          </a:r>
        </a:p>
        <a:p>
          <a:pPr algn="r" rtl="1"/>
          <a:r>
            <a:rPr lang="he-IL" sz="1100" baseline="0"/>
            <a:t>אם השווי ההוגן גבוה יותר - עליי לדאוג לתקן את ההקצאה כלפי מעלה בהתאם (זה היה המצב בשאלה קודמת)</a:t>
          </a:r>
        </a:p>
        <a:p>
          <a:pPr algn="r" rtl="1"/>
          <a:r>
            <a:rPr lang="he-IL" sz="1100" baseline="0"/>
            <a:t>אם השווי ההוגן נמוך יותר - אני לא נוגע, שהרי בלאו הכי לוקחים את הגבוה מבין שווי הוגן לבין הערך שנוצר בהקצאה הראשונית</a:t>
          </a:r>
          <a:endParaRPr lang="en-US" sz="1100"/>
        </a:p>
      </xdr:txBody>
    </xdr:sp>
    <xdr:clientData/>
  </xdr:twoCellAnchor>
  <xdr:twoCellAnchor>
    <xdr:from>
      <xdr:col>7</xdr:col>
      <xdr:colOff>384541</xdr:colOff>
      <xdr:row>114</xdr:row>
      <xdr:rowOff>197331</xdr:rowOff>
    </xdr:from>
    <xdr:to>
      <xdr:col>14</xdr:col>
      <xdr:colOff>0</xdr:colOff>
      <xdr:row>125</xdr:row>
      <xdr:rowOff>131554</xdr:rowOff>
    </xdr:to>
    <xdr:sp macro="" textlink="">
      <xdr:nvSpPr>
        <xdr:cNvPr id="22" name="Rounded Rectangular Callout 21">
          <a:extLst>
            <a:ext uri="{FF2B5EF4-FFF2-40B4-BE49-F238E27FC236}">
              <a16:creationId xmlns:a16="http://schemas.microsoft.com/office/drawing/2014/main" id="{853B678E-23BB-EB1F-6212-7FFB79833B3D}"/>
            </a:ext>
          </a:extLst>
        </xdr:cNvPr>
        <xdr:cNvSpPr/>
      </xdr:nvSpPr>
      <xdr:spPr>
        <a:xfrm>
          <a:off x="11014598686" y="23907371"/>
          <a:ext cx="5889562" cy="2605777"/>
        </a:xfrm>
        <a:prstGeom prst="wedgeRoundRectCallout">
          <a:avLst>
            <a:gd name="adj1" fmla="val 56554"/>
            <a:gd name="adj2" fmla="val 2876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על פי הנתון:</a:t>
          </a:r>
        </a:p>
        <a:p>
          <a:pPr algn="r" rtl="1"/>
          <a:r>
            <a:rPr lang="he-IL" sz="1100"/>
            <a:t>השווי ההוגן של המכונה לליטוש ציפורניים:                    280,000</a:t>
          </a:r>
        </a:p>
        <a:p>
          <a:pPr algn="r" rtl="1"/>
          <a:r>
            <a:rPr lang="he-IL" sz="1100"/>
            <a:t>לצד זאת, הסכום בר ההשבה שעליו מתבססת ההקצאה:</a:t>
          </a:r>
          <a:r>
            <a:rPr lang="he-IL" sz="1100" baseline="0"/>
            <a:t> 328,571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כדי להכיר בירידה נוספת מ-285,714 ל-230,000 נדרש שיתקיים מצב שבו מכירת הפריט צפויה. וזאת משום שעקרונית, עלינו לבחור בערך ספרים שהוא הגבוה מבין הסכום המוקצה לפי סב״ה לבין השווי ההוגן הספציפי.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אז תכל׳ס: </a:t>
          </a:r>
        </a:p>
        <a:p>
          <a:pPr algn="r" rtl="1"/>
          <a:r>
            <a:rPr lang="he-IL" sz="1100" baseline="0"/>
            <a:t>אני מבצע הקצאה לפי י״ע שמצאתי,</a:t>
          </a:r>
        </a:p>
        <a:p>
          <a:pPr algn="r" rtl="1"/>
          <a:r>
            <a:rPr lang="he-IL" sz="1100" baseline="0"/>
            <a:t>אם השווי ההוגן גבוה יותר - עליי לדאוג לתקן את ההקצאה כלפי מעלה בהתאם (זה היה המצב בשאלה קודמת)</a:t>
          </a:r>
        </a:p>
        <a:p>
          <a:pPr algn="r" rtl="1"/>
          <a:r>
            <a:rPr lang="he-IL" sz="1100" baseline="0"/>
            <a:t>אם השווי ההוגן נמוך יותר - אני לא נוגע, שהרי בלאו הכי לוקחים את הגבוה מבין שווי הוגן לבין הערך שנוצר בהקצאה הראשונית</a:t>
          </a:r>
          <a:endParaRPr lang="en-US" sz="1100"/>
        </a:p>
      </xdr:txBody>
    </xdr:sp>
    <xdr:clientData/>
  </xdr:twoCellAnchor>
  <xdr:twoCellAnchor editAs="oneCell">
    <xdr:from>
      <xdr:col>8</xdr:col>
      <xdr:colOff>279951</xdr:colOff>
      <xdr:row>135</xdr:row>
      <xdr:rowOff>1797</xdr:rowOff>
    </xdr:from>
    <xdr:to>
      <xdr:col>11</xdr:col>
      <xdr:colOff>228303</xdr:colOff>
      <xdr:row>145</xdr:row>
      <xdr:rowOff>152598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05007AE-4FC1-A7A9-2FE8-C76323FC0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81302947" y="28530065"/>
          <a:ext cx="2388704" cy="2413820"/>
        </a:xfrm>
        <a:prstGeom prst="rect">
          <a:avLst/>
        </a:prstGeom>
      </xdr:spPr>
    </xdr:pic>
    <xdr:clientData/>
  </xdr:twoCellAnchor>
  <xdr:twoCellAnchor>
    <xdr:from>
      <xdr:col>11</xdr:col>
      <xdr:colOff>152400</xdr:colOff>
      <xdr:row>173</xdr:row>
      <xdr:rowOff>131233</xdr:rowOff>
    </xdr:from>
    <xdr:to>
      <xdr:col>12</xdr:col>
      <xdr:colOff>584200</xdr:colOff>
      <xdr:row>173</xdr:row>
      <xdr:rowOff>131233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5DEAF32F-96FD-36C3-DE20-4B22C868CC8A}"/>
            </a:ext>
          </a:extLst>
        </xdr:cNvPr>
        <xdr:cNvCxnSpPr/>
      </xdr:nvCxnSpPr>
      <xdr:spPr>
        <a:xfrm flipH="1">
          <a:off x="11019409000" y="37240633"/>
          <a:ext cx="110490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703E52-DB4C-445D-AAA8-93F6084132DE}">
  <dimension ref="A1:F31"/>
  <sheetViews>
    <sheetView rightToLeft="1" zoomScale="260" zoomScaleNormal="260" workbookViewId="0">
      <selection activeCell="E25" sqref="E25"/>
    </sheetView>
  </sheetViews>
  <sheetFormatPr baseColWidth="10" defaultColWidth="8.83203125" defaultRowHeight="16" x14ac:dyDescent="0.2"/>
  <cols>
    <col min="1" max="2" width="8.83203125" style="1"/>
    <col min="3" max="3" width="10.83203125" style="1" bestFit="1" customWidth="1"/>
    <col min="4" max="16384" width="8.83203125" style="1"/>
  </cols>
  <sheetData>
    <row r="1" spans="1:1" x14ac:dyDescent="0.2">
      <c r="A1" s="1" t="s">
        <v>65</v>
      </c>
    </row>
    <row r="13" spans="1:1" x14ac:dyDescent="0.2">
      <c r="A13" s="1" t="s">
        <v>66</v>
      </c>
    </row>
    <row r="14" spans="1:1" x14ac:dyDescent="0.2">
      <c r="A14" s="1" t="s">
        <v>67</v>
      </c>
    </row>
    <row r="16" spans="1:1" x14ac:dyDescent="0.2">
      <c r="A16" s="24" t="s">
        <v>315</v>
      </c>
    </row>
    <row r="18" spans="1:6" x14ac:dyDescent="0.2">
      <c r="A18" s="1" t="s">
        <v>316</v>
      </c>
    </row>
    <row r="19" spans="1:6" x14ac:dyDescent="0.2">
      <c r="A19" s="1" t="s">
        <v>68</v>
      </c>
      <c r="F19" s="2">
        <f>100000+80000</f>
        <v>180000</v>
      </c>
    </row>
    <row r="20" spans="1:6" x14ac:dyDescent="0.2">
      <c r="A20" s="1" t="s">
        <v>69</v>
      </c>
      <c r="F20" s="3">
        <v>160000</v>
      </c>
    </row>
    <row r="21" spans="1:6" x14ac:dyDescent="0.2">
      <c r="A21" s="1" t="s">
        <v>1</v>
      </c>
      <c r="F21" s="2">
        <f>F19-F20</f>
        <v>20000</v>
      </c>
    </row>
    <row r="23" spans="1:6" x14ac:dyDescent="0.2">
      <c r="A23" s="1" t="s">
        <v>317</v>
      </c>
    </row>
    <row r="25" spans="1:6" x14ac:dyDescent="0.2">
      <c r="C25" s="1" t="s">
        <v>70</v>
      </c>
      <c r="D25" s="1" t="s">
        <v>71</v>
      </c>
    </row>
    <row r="26" spans="1:6" x14ac:dyDescent="0.2">
      <c r="C26" s="18">
        <v>46387</v>
      </c>
      <c r="D26" s="4" t="s">
        <v>2</v>
      </c>
    </row>
    <row r="27" spans="1:6" x14ac:dyDescent="0.2">
      <c r="A27" s="1" t="s">
        <v>3</v>
      </c>
      <c r="C27" s="20">
        <v>100000</v>
      </c>
      <c r="D27" s="21">
        <f>100000-F21</f>
        <v>80000</v>
      </c>
      <c r="E27" s="1" t="s">
        <v>319</v>
      </c>
    </row>
    <row r="28" spans="1:6" x14ac:dyDescent="0.2">
      <c r="A28" s="1" t="s">
        <v>4</v>
      </c>
      <c r="C28" s="6">
        <v>80000</v>
      </c>
      <c r="D28" s="2">
        <f>80000</f>
        <v>80000</v>
      </c>
      <c r="E28" s="1" t="s">
        <v>318</v>
      </c>
    </row>
    <row r="29" spans="1:6" x14ac:dyDescent="0.2">
      <c r="C29" s="19">
        <f>SUM(C27:C28)</f>
        <v>180000</v>
      </c>
      <c r="D29" s="19">
        <f>SUM(D27:D28)</f>
        <v>160000</v>
      </c>
    </row>
    <row r="31" spans="1:6" x14ac:dyDescent="0.2">
      <c r="A31" s="1" t="s">
        <v>320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8616BE-E88E-4AFF-B006-ED48862533AB}">
  <dimension ref="A1:K61"/>
  <sheetViews>
    <sheetView rightToLeft="1" topLeftCell="A34" zoomScale="251" workbookViewId="0">
      <selection activeCell="C47" sqref="C47"/>
    </sheetView>
  </sheetViews>
  <sheetFormatPr baseColWidth="10" defaultColWidth="8.83203125" defaultRowHeight="16" x14ac:dyDescent="0.2"/>
  <cols>
    <col min="1" max="1" width="8.83203125" style="1"/>
    <col min="2" max="2" width="10.33203125" style="1" customWidth="1"/>
    <col min="3" max="3" width="12.83203125" style="1" customWidth="1"/>
    <col min="4" max="4" width="10.83203125" style="1" bestFit="1" customWidth="1"/>
    <col min="5" max="16384" width="8.83203125" style="1"/>
  </cols>
  <sheetData>
    <row r="1" spans="1:1" x14ac:dyDescent="0.2">
      <c r="A1" s="24" t="s">
        <v>72</v>
      </c>
    </row>
    <row r="12" spans="1:1" x14ac:dyDescent="0.2">
      <c r="A12" s="1" t="s">
        <v>321</v>
      </c>
    </row>
    <row r="13" spans="1:1" x14ac:dyDescent="0.2">
      <c r="A13" s="1" t="s">
        <v>322</v>
      </c>
    </row>
    <row r="15" spans="1:1" x14ac:dyDescent="0.2">
      <c r="A15" s="1" t="s">
        <v>323</v>
      </c>
    </row>
    <row r="17" spans="1:7" x14ac:dyDescent="0.2">
      <c r="A17" s="1" t="s">
        <v>324</v>
      </c>
    </row>
    <row r="18" spans="1:7" x14ac:dyDescent="0.2">
      <c r="A18" s="39" t="s">
        <v>328</v>
      </c>
    </row>
    <row r="19" spans="1:7" x14ac:dyDescent="0.2">
      <c r="A19" s="1" t="s">
        <v>325</v>
      </c>
    </row>
    <row r="20" spans="1:7" x14ac:dyDescent="0.2">
      <c r="A20" s="1" t="s">
        <v>326</v>
      </c>
    </row>
    <row r="21" spans="1:7" x14ac:dyDescent="0.2">
      <c r="A21" s="1" t="s">
        <v>327</v>
      </c>
    </row>
    <row r="23" spans="1:7" x14ac:dyDescent="0.2">
      <c r="A23" s="39" t="s">
        <v>329</v>
      </c>
    </row>
    <row r="24" spans="1:7" x14ac:dyDescent="0.2">
      <c r="A24" s="39"/>
    </row>
    <row r="25" spans="1:7" x14ac:dyDescent="0.2">
      <c r="A25" s="1" t="s">
        <v>330</v>
      </c>
    </row>
    <row r="27" spans="1:7" x14ac:dyDescent="0.2">
      <c r="A27" s="5" t="s">
        <v>5</v>
      </c>
      <c r="F27" s="1" t="s">
        <v>332</v>
      </c>
    </row>
    <row r="28" spans="1:7" x14ac:dyDescent="0.2">
      <c r="A28" s="24" t="s">
        <v>78</v>
      </c>
    </row>
    <row r="29" spans="1:7" x14ac:dyDescent="0.2">
      <c r="A29" s="24" t="s">
        <v>335</v>
      </c>
      <c r="D29" s="6">
        <v>200000</v>
      </c>
      <c r="G29" s="1" t="s">
        <v>331</v>
      </c>
    </row>
    <row r="30" spans="1:7" x14ac:dyDescent="0.2">
      <c r="D30" s="6"/>
    </row>
    <row r="31" spans="1:7" x14ac:dyDescent="0.2">
      <c r="A31" s="1" t="s">
        <v>73</v>
      </c>
    </row>
    <row r="32" spans="1:7" x14ac:dyDescent="0.2">
      <c r="A32" s="1" t="s">
        <v>7</v>
      </c>
      <c r="D32" s="6">
        <f>130000+40000</f>
        <v>170000</v>
      </c>
      <c r="F32" s="1" t="s">
        <v>74</v>
      </c>
      <c r="G32" s="1" t="s">
        <v>75</v>
      </c>
    </row>
    <row r="33" spans="1:11" x14ac:dyDescent="0.2">
      <c r="A33" s="1" t="s">
        <v>333</v>
      </c>
      <c r="D33" s="7">
        <v>190000</v>
      </c>
    </row>
    <row r="34" spans="1:11" x14ac:dyDescent="0.2">
      <c r="A34" s="1" t="s">
        <v>76</v>
      </c>
      <c r="D34" s="7">
        <f>D33</f>
        <v>190000</v>
      </c>
      <c r="E34" s="1" t="s">
        <v>334</v>
      </c>
    </row>
    <row r="35" spans="1:11" x14ac:dyDescent="0.2">
      <c r="D35" s="7"/>
    </row>
    <row r="36" spans="1:11" ht="17" thickBot="1" x14ac:dyDescent="0.25">
      <c r="A36" s="1" t="s">
        <v>8</v>
      </c>
      <c r="D36" s="6">
        <f>D29-D33</f>
        <v>10000</v>
      </c>
      <c r="G36" s="1" t="s">
        <v>77</v>
      </c>
    </row>
    <row r="37" spans="1:11" x14ac:dyDescent="0.2">
      <c r="J37" s="31" t="s">
        <v>87</v>
      </c>
      <c r="K37" s="32"/>
    </row>
    <row r="38" spans="1:11" s="25" customFormat="1" x14ac:dyDescent="0.2">
      <c r="A38" s="102" t="s">
        <v>336</v>
      </c>
      <c r="J38" s="33" t="s">
        <v>88</v>
      </c>
      <c r="K38" s="34"/>
    </row>
    <row r="39" spans="1:11" s="25" customFormat="1" x14ac:dyDescent="0.2">
      <c r="A39" s="25" t="s">
        <v>6</v>
      </c>
      <c r="D39" s="26">
        <v>200000</v>
      </c>
      <c r="E39" s="25" t="s">
        <v>337</v>
      </c>
      <c r="J39" s="33" t="s">
        <v>89</v>
      </c>
      <c r="K39" s="34"/>
    </row>
    <row r="40" spans="1:11" s="25" customFormat="1" ht="17" thickBot="1" x14ac:dyDescent="0.25">
      <c r="A40" s="25" t="s">
        <v>9</v>
      </c>
      <c r="D40" s="27">
        <v>-40000</v>
      </c>
      <c r="E40" s="25" t="s">
        <v>338</v>
      </c>
      <c r="J40" s="35" t="s">
        <v>90</v>
      </c>
      <c r="K40" s="36"/>
    </row>
    <row r="41" spans="1:11" s="25" customFormat="1" x14ac:dyDescent="0.2">
      <c r="A41" s="25" t="s">
        <v>79</v>
      </c>
      <c r="D41" s="26">
        <f>D39+D40</f>
        <v>160000</v>
      </c>
      <c r="E41" s="25" t="s">
        <v>339</v>
      </c>
    </row>
    <row r="42" spans="1:11" s="25" customFormat="1" x14ac:dyDescent="0.2">
      <c r="D42" s="26"/>
    </row>
    <row r="43" spans="1:11" s="25" customFormat="1" x14ac:dyDescent="0.2">
      <c r="A43" s="37" t="s">
        <v>80</v>
      </c>
    </row>
    <row r="44" spans="1:11" s="25" customFormat="1" x14ac:dyDescent="0.2">
      <c r="A44" s="25" t="s">
        <v>10</v>
      </c>
      <c r="D44" s="26">
        <v>130000</v>
      </c>
      <c r="E44" s="25" t="s">
        <v>81</v>
      </c>
    </row>
    <row r="45" spans="1:11" s="25" customFormat="1" x14ac:dyDescent="0.2">
      <c r="A45" s="25" t="s">
        <v>82</v>
      </c>
      <c r="D45" s="28">
        <f>190000-40000</f>
        <v>150000</v>
      </c>
      <c r="H45" s="25" t="s">
        <v>83</v>
      </c>
    </row>
    <row r="46" spans="1:11" s="25" customFormat="1" x14ac:dyDescent="0.2">
      <c r="A46" s="25" t="s">
        <v>84</v>
      </c>
      <c r="D46" s="29">
        <f>D45</f>
        <v>150000</v>
      </c>
    </row>
    <row r="47" spans="1:11" x14ac:dyDescent="0.2">
      <c r="A47" s="22"/>
      <c r="B47" s="22"/>
      <c r="C47" s="22"/>
      <c r="D47" s="22"/>
      <c r="E47" s="22"/>
      <c r="I47" s="1" t="s">
        <v>340</v>
      </c>
    </row>
    <row r="48" spans="1:11" x14ac:dyDescent="0.2">
      <c r="A48" s="30" t="s">
        <v>85</v>
      </c>
      <c r="B48" s="22"/>
      <c r="C48" s="22"/>
      <c r="D48" s="29">
        <f>D41-D46</f>
        <v>10000</v>
      </c>
      <c r="E48" s="22"/>
      <c r="F48" s="1" t="s">
        <v>86</v>
      </c>
      <c r="I48" s="1" t="s">
        <v>341</v>
      </c>
    </row>
    <row r="49" spans="8:8" s="25" customFormat="1" x14ac:dyDescent="0.2"/>
    <row r="50" spans="8:8" s="25" customFormat="1" x14ac:dyDescent="0.2">
      <c r="H50" s="25" t="s">
        <v>342</v>
      </c>
    </row>
    <row r="51" spans="8:8" s="25" customFormat="1" x14ac:dyDescent="0.2"/>
    <row r="52" spans="8:8" s="25" customFormat="1" x14ac:dyDescent="0.2"/>
    <row r="53" spans="8:8" s="25" customFormat="1" x14ac:dyDescent="0.2"/>
    <row r="54" spans="8:8" s="25" customFormat="1" x14ac:dyDescent="0.2"/>
    <row r="55" spans="8:8" s="25" customFormat="1" x14ac:dyDescent="0.2"/>
    <row r="56" spans="8:8" s="25" customFormat="1" x14ac:dyDescent="0.2"/>
    <row r="57" spans="8:8" s="25" customFormat="1" x14ac:dyDescent="0.2"/>
    <row r="58" spans="8:8" s="25" customFormat="1" x14ac:dyDescent="0.2"/>
    <row r="59" spans="8:8" s="25" customFormat="1" x14ac:dyDescent="0.2"/>
    <row r="60" spans="8:8" s="25" customFormat="1" x14ac:dyDescent="0.2"/>
    <row r="61" spans="8:8" s="25" customFormat="1" x14ac:dyDescent="0.2"/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D2FC80-AC97-4903-8C43-DAC67B79705B}">
  <dimension ref="A1:K272"/>
  <sheetViews>
    <sheetView rightToLeft="1" tabSelected="1" topLeftCell="A100" zoomScale="230" zoomScaleNormal="260" workbookViewId="0">
      <selection activeCell="F113" sqref="F113"/>
    </sheetView>
  </sheetViews>
  <sheetFormatPr baseColWidth="10" defaultColWidth="8.83203125" defaultRowHeight="16" x14ac:dyDescent="0.2"/>
  <cols>
    <col min="1" max="1" width="9.33203125" style="1" customWidth="1"/>
    <col min="2" max="2" width="11" style="1" customWidth="1"/>
    <col min="3" max="3" width="8.83203125" style="1"/>
    <col min="4" max="4" width="10.83203125" style="1" bestFit="1" customWidth="1"/>
    <col min="5" max="5" width="13.33203125" style="1" customWidth="1"/>
    <col min="6" max="6" width="10.33203125" style="1" bestFit="1" customWidth="1"/>
    <col min="7" max="7" width="10.83203125" style="1" bestFit="1" customWidth="1"/>
    <col min="8" max="16384" width="8.83203125" style="1"/>
  </cols>
  <sheetData>
    <row r="1" spans="1:1" x14ac:dyDescent="0.2">
      <c r="A1" s="1" t="s">
        <v>11</v>
      </c>
    </row>
    <row r="22" spans="1:5" x14ac:dyDescent="0.2">
      <c r="A22" s="4" t="s">
        <v>12</v>
      </c>
    </row>
    <row r="23" spans="1:5" x14ac:dyDescent="0.2">
      <c r="A23" s="1" t="s">
        <v>13</v>
      </c>
      <c r="D23" s="2">
        <f>200000+150000+50000</f>
        <v>400000</v>
      </c>
    </row>
    <row r="24" spans="1:5" ht="19" x14ac:dyDescent="0.35">
      <c r="A24" s="1" t="s">
        <v>14</v>
      </c>
      <c r="D24" s="10">
        <v>440000</v>
      </c>
      <c r="E24" s="1" t="s">
        <v>15</v>
      </c>
    </row>
    <row r="25" spans="1:5" x14ac:dyDescent="0.2">
      <c r="A25" s="1" t="s">
        <v>16</v>
      </c>
      <c r="D25" s="1">
        <v>0</v>
      </c>
    </row>
    <row r="26" spans="1:5" x14ac:dyDescent="0.2">
      <c r="A26" s="1" t="s">
        <v>17</v>
      </c>
    </row>
    <row r="28" spans="1:5" x14ac:dyDescent="0.2">
      <c r="A28" s="4" t="s">
        <v>18</v>
      </c>
    </row>
    <row r="29" spans="1:5" x14ac:dyDescent="0.2">
      <c r="A29" s="39" t="s">
        <v>343</v>
      </c>
    </row>
    <row r="30" spans="1:5" x14ac:dyDescent="0.2">
      <c r="A30" s="39" t="s">
        <v>344</v>
      </c>
    </row>
    <row r="31" spans="1:5" x14ac:dyDescent="0.2">
      <c r="A31" s="39" t="s">
        <v>345</v>
      </c>
    </row>
    <row r="32" spans="1:5" x14ac:dyDescent="0.2">
      <c r="A32" s="39" t="s">
        <v>346</v>
      </c>
    </row>
    <row r="33" spans="1:5" x14ac:dyDescent="0.2">
      <c r="A33" s="39" t="s">
        <v>347</v>
      </c>
    </row>
    <row r="34" spans="1:5" x14ac:dyDescent="0.2">
      <c r="A34" s="39" t="s">
        <v>348</v>
      </c>
    </row>
    <row r="35" spans="1:5" x14ac:dyDescent="0.2">
      <c r="A35" s="39"/>
    </row>
    <row r="36" spans="1:5" x14ac:dyDescent="0.2">
      <c r="A36" s="37" t="s">
        <v>349</v>
      </c>
      <c r="B36" s="25"/>
      <c r="C36" s="25"/>
    </row>
    <row r="37" spans="1:5" x14ac:dyDescent="0.2">
      <c r="A37" s="25" t="s">
        <v>91</v>
      </c>
      <c r="B37" s="25"/>
      <c r="C37" s="26">
        <v>200000</v>
      </c>
      <c r="D37" s="103" t="s">
        <v>350</v>
      </c>
    </row>
    <row r="38" spans="1:5" x14ac:dyDescent="0.2">
      <c r="A38" s="25" t="s">
        <v>92</v>
      </c>
      <c r="B38" s="25"/>
      <c r="C38" s="27">
        <v>160000</v>
      </c>
      <c r="D38" s="103" t="s">
        <v>351</v>
      </c>
    </row>
    <row r="39" spans="1:5" x14ac:dyDescent="0.2">
      <c r="A39" s="25" t="s">
        <v>352</v>
      </c>
      <c r="B39" s="25"/>
      <c r="C39" s="94">
        <f>C37-C38</f>
        <v>40000</v>
      </c>
      <c r="D39" s="25"/>
      <c r="E39" s="25"/>
    </row>
    <row r="40" spans="1:5" x14ac:dyDescent="0.2">
      <c r="D40" s="25"/>
      <c r="E40" s="25"/>
    </row>
    <row r="41" spans="1:5" x14ac:dyDescent="0.2">
      <c r="A41" s="24" t="s">
        <v>353</v>
      </c>
      <c r="D41" s="25"/>
      <c r="E41" s="25"/>
    </row>
    <row r="42" spans="1:5" x14ac:dyDescent="0.2">
      <c r="D42" s="25"/>
      <c r="E42" s="25"/>
    </row>
    <row r="43" spans="1:5" s="25" customFormat="1" x14ac:dyDescent="0.2"/>
    <row r="44" spans="1:5" s="25" customFormat="1" x14ac:dyDescent="0.2"/>
    <row r="45" spans="1:5" s="25" customFormat="1" x14ac:dyDescent="0.2"/>
    <row r="46" spans="1:5" s="25" customFormat="1" x14ac:dyDescent="0.2"/>
    <row r="47" spans="1:5" s="25" customFormat="1" x14ac:dyDescent="0.2"/>
    <row r="48" spans="1:5" s="25" customFormat="1" x14ac:dyDescent="0.2">
      <c r="A48" s="25" t="s">
        <v>354</v>
      </c>
    </row>
    <row r="49" spans="1:8" s="25" customFormat="1" x14ac:dyDescent="0.2">
      <c r="A49" s="25" t="s">
        <v>20</v>
      </c>
      <c r="C49" s="29">
        <f>D23-C39</f>
        <v>360000</v>
      </c>
      <c r="E49" s="25" t="s">
        <v>93</v>
      </c>
      <c r="F49" s="25" t="s">
        <v>355</v>
      </c>
    </row>
    <row r="50" spans="1:8" s="25" customFormat="1" ht="19" x14ac:dyDescent="0.35">
      <c r="A50" s="25" t="s">
        <v>14</v>
      </c>
      <c r="C50" s="38">
        <f>D24</f>
        <v>440000</v>
      </c>
      <c r="D50" s="25" t="s">
        <v>356</v>
      </c>
    </row>
    <row r="51" spans="1:8" s="25" customFormat="1" x14ac:dyDescent="0.2">
      <c r="A51" s="25" t="s">
        <v>357</v>
      </c>
      <c r="C51" s="104">
        <v>0</v>
      </c>
      <c r="D51" s="25" t="s">
        <v>358</v>
      </c>
    </row>
    <row r="52" spans="1:8" s="25" customFormat="1" x14ac:dyDescent="0.2"/>
    <row r="53" spans="1:8" x14ac:dyDescent="0.2">
      <c r="A53" s="1" t="s">
        <v>21</v>
      </c>
    </row>
    <row r="54" spans="1:8" x14ac:dyDescent="0.2">
      <c r="A54" s="1" t="s">
        <v>94</v>
      </c>
    </row>
    <row r="55" spans="1:8" x14ac:dyDescent="0.2">
      <c r="A55" s="1" t="s">
        <v>95</v>
      </c>
    </row>
    <row r="56" spans="1:8" x14ac:dyDescent="0.2">
      <c r="A56" s="1" t="s">
        <v>96</v>
      </c>
    </row>
    <row r="58" spans="1:8" x14ac:dyDescent="0.2">
      <c r="A58" s="4" t="s">
        <v>359</v>
      </c>
    </row>
    <row r="59" spans="1:8" x14ac:dyDescent="0.2">
      <c r="A59" s="39" t="s">
        <v>360</v>
      </c>
    </row>
    <row r="60" spans="1:8" x14ac:dyDescent="0.2">
      <c r="A60" s="4"/>
      <c r="C60" s="1" t="s">
        <v>3</v>
      </c>
      <c r="D60" s="1" t="s">
        <v>361</v>
      </c>
    </row>
    <row r="61" spans="1:8" x14ac:dyDescent="0.2">
      <c r="A61" s="4"/>
      <c r="C61" s="1" t="s">
        <v>284</v>
      </c>
      <c r="D61" s="1">
        <v>200000</v>
      </c>
    </row>
    <row r="62" spans="1:8" x14ac:dyDescent="0.2">
      <c r="A62" s="4"/>
      <c r="C62" s="1" t="s">
        <v>285</v>
      </c>
      <c r="D62" s="1">
        <v>150000</v>
      </c>
    </row>
    <row r="63" spans="1:8" x14ac:dyDescent="0.2">
      <c r="A63" s="4"/>
      <c r="C63" s="1" t="s">
        <v>286</v>
      </c>
      <c r="D63" s="1">
        <v>50000</v>
      </c>
      <c r="H63" s="1" t="s">
        <v>364</v>
      </c>
    </row>
    <row r="64" spans="1:8" x14ac:dyDescent="0.2">
      <c r="A64" s="4"/>
      <c r="C64" s="1" t="s">
        <v>97</v>
      </c>
      <c r="D64" s="1">
        <f>SUM(D61:D63)</f>
        <v>400000</v>
      </c>
    </row>
    <row r="65" spans="1:11" x14ac:dyDescent="0.2">
      <c r="A65" s="4"/>
      <c r="H65" s="1" t="s">
        <v>365</v>
      </c>
    </row>
    <row r="66" spans="1:11" x14ac:dyDescent="0.2">
      <c r="A66" s="39" t="s">
        <v>373</v>
      </c>
    </row>
    <row r="67" spans="1:11" x14ac:dyDescent="0.2">
      <c r="A67" s="39" t="s">
        <v>362</v>
      </c>
      <c r="H67" s="1" t="s">
        <v>366</v>
      </c>
    </row>
    <row r="68" spans="1:11" x14ac:dyDescent="0.2">
      <c r="A68" s="39"/>
    </row>
    <row r="69" spans="1:11" x14ac:dyDescent="0.2">
      <c r="A69" s="106" t="s">
        <v>363</v>
      </c>
      <c r="B69" s="107"/>
      <c r="C69" s="107"/>
      <c r="D69" s="107"/>
      <c r="E69" s="107"/>
      <c r="F69" s="107"/>
      <c r="G69" s="108"/>
      <c r="K69" s="1" t="s">
        <v>81</v>
      </c>
    </row>
    <row r="70" spans="1:11" x14ac:dyDescent="0.2">
      <c r="A70" s="39"/>
    </row>
    <row r="71" spans="1:11" x14ac:dyDescent="0.2">
      <c r="A71" s="109" t="s">
        <v>377</v>
      </c>
      <c r="D71" s="39" t="s">
        <v>376</v>
      </c>
      <c r="H71" s="1" t="s">
        <v>370</v>
      </c>
      <c r="J71" s="105" t="s">
        <v>367</v>
      </c>
    </row>
    <row r="72" spans="1:11" x14ac:dyDescent="0.2">
      <c r="A72" s="109" t="s">
        <v>378</v>
      </c>
      <c r="D72" s="1" t="s">
        <v>374</v>
      </c>
      <c r="H72" s="1" t="s">
        <v>371</v>
      </c>
      <c r="J72" s="105" t="s">
        <v>368</v>
      </c>
    </row>
    <row r="73" spans="1:11" x14ac:dyDescent="0.2">
      <c r="A73" s="109" t="s">
        <v>379</v>
      </c>
      <c r="D73" s="1" t="s">
        <v>375</v>
      </c>
      <c r="H73" s="1" t="s">
        <v>372</v>
      </c>
      <c r="J73" s="105" t="s">
        <v>369</v>
      </c>
    </row>
    <row r="74" spans="1:11" x14ac:dyDescent="0.2">
      <c r="A74" s="109" t="s">
        <v>380</v>
      </c>
    </row>
    <row r="75" spans="1:11" x14ac:dyDescent="0.2">
      <c r="A75" s="4"/>
    </row>
    <row r="76" spans="1:11" x14ac:dyDescent="0.2">
      <c r="A76" s="1" t="s">
        <v>381</v>
      </c>
    </row>
    <row r="77" spans="1:11" x14ac:dyDescent="0.2">
      <c r="A77" s="1" t="s">
        <v>382</v>
      </c>
    </row>
    <row r="78" spans="1:11" x14ac:dyDescent="0.2">
      <c r="D78" s="25"/>
    </row>
    <row r="79" spans="1:11" x14ac:dyDescent="0.2">
      <c r="C79" s="22"/>
      <c r="D79" s="110" t="s">
        <v>387</v>
      </c>
      <c r="E79" s="25"/>
      <c r="F79" s="22"/>
      <c r="G79" s="22"/>
      <c r="H79" s="22"/>
    </row>
    <row r="80" spans="1:11" x14ac:dyDescent="0.2">
      <c r="C80" s="110" t="s">
        <v>206</v>
      </c>
      <c r="D80" s="110" t="s">
        <v>388</v>
      </c>
      <c r="E80" s="25" t="s">
        <v>206</v>
      </c>
      <c r="F80" s="25" t="s">
        <v>394</v>
      </c>
      <c r="G80" s="25" t="s">
        <v>206</v>
      </c>
      <c r="H80" s="22"/>
    </row>
    <row r="81" spans="1:9" x14ac:dyDescent="0.2">
      <c r="B81" s="1" t="s">
        <v>81</v>
      </c>
      <c r="C81" s="110" t="s">
        <v>385</v>
      </c>
      <c r="D81" s="110" t="s">
        <v>389</v>
      </c>
      <c r="E81" s="25" t="s">
        <v>391</v>
      </c>
      <c r="F81" s="25" t="s">
        <v>395</v>
      </c>
      <c r="G81" s="25" t="s">
        <v>392</v>
      </c>
      <c r="H81" s="22"/>
    </row>
    <row r="82" spans="1:9" x14ac:dyDescent="0.2">
      <c r="A82" s="17" t="s">
        <v>383</v>
      </c>
      <c r="B82" s="17" t="s">
        <v>206</v>
      </c>
      <c r="C82" s="111" t="s">
        <v>386</v>
      </c>
      <c r="D82" s="111" t="s">
        <v>390</v>
      </c>
      <c r="E82" s="42" t="s">
        <v>85</v>
      </c>
      <c r="F82" s="42" t="s">
        <v>1</v>
      </c>
      <c r="G82" s="42" t="s">
        <v>393</v>
      </c>
      <c r="H82" s="25"/>
      <c r="I82" s="25"/>
    </row>
    <row r="83" spans="1:9" x14ac:dyDescent="0.2">
      <c r="A83" s="1" t="s">
        <v>25</v>
      </c>
      <c r="B83" s="6">
        <v>200000</v>
      </c>
      <c r="C83" s="112">
        <f>B83/B86</f>
        <v>0.5</v>
      </c>
      <c r="D83" s="113">
        <f>C83*$B$89</f>
        <v>60000</v>
      </c>
      <c r="E83" s="29">
        <f>B83-D83</f>
        <v>140000</v>
      </c>
      <c r="F83" s="116">
        <f>G83-E83</f>
        <v>20000</v>
      </c>
      <c r="G83" s="40">
        <f>C94</f>
        <v>160000</v>
      </c>
      <c r="H83" s="25"/>
      <c r="I83" s="25"/>
    </row>
    <row r="84" spans="1:9" x14ac:dyDescent="0.2">
      <c r="A84" s="1" t="s">
        <v>26</v>
      </c>
      <c r="B84" s="6">
        <v>150000</v>
      </c>
      <c r="C84" s="117">
        <f>B84/B86</f>
        <v>0.375</v>
      </c>
      <c r="D84" s="113">
        <f t="shared" ref="D84:D85" si="0">C84*$B$89</f>
        <v>45000</v>
      </c>
      <c r="E84" s="118">
        <f t="shared" ref="E84:E85" si="1">B84-D84</f>
        <v>105000</v>
      </c>
      <c r="F84" s="40">
        <f>-F83*E84/(E84+E85)</f>
        <v>-15000</v>
      </c>
      <c r="G84" s="40">
        <f>F84+E84</f>
        <v>90000</v>
      </c>
      <c r="H84" s="25"/>
      <c r="I84" s="25"/>
    </row>
    <row r="85" spans="1:9" ht="19" x14ac:dyDescent="0.35">
      <c r="A85" s="1" t="s">
        <v>27</v>
      </c>
      <c r="B85" s="8">
        <v>50000</v>
      </c>
      <c r="C85" s="117">
        <f>B85/B86</f>
        <v>0.125</v>
      </c>
      <c r="D85" s="114">
        <f t="shared" si="0"/>
        <v>15000</v>
      </c>
      <c r="E85" s="119">
        <f t="shared" si="1"/>
        <v>35000</v>
      </c>
      <c r="F85" s="41">
        <f>-F83*E85/(E84+E85)</f>
        <v>-5000</v>
      </c>
      <c r="G85" s="41">
        <f>F85+E85</f>
        <v>30000</v>
      </c>
      <c r="H85" s="25"/>
      <c r="I85" s="25"/>
    </row>
    <row r="86" spans="1:9" x14ac:dyDescent="0.2">
      <c r="A86" s="1" t="s">
        <v>384</v>
      </c>
      <c r="B86" s="6">
        <f>SUM(B83:B85)</f>
        <v>400000</v>
      </c>
      <c r="C86" s="110"/>
      <c r="D86" s="115">
        <f>SUM(D83:D85)</f>
        <v>120000</v>
      </c>
      <c r="E86" s="29">
        <f>SUM(E83:E85)</f>
        <v>280000</v>
      </c>
      <c r="F86" s="29">
        <f>SUM(F83:F85)</f>
        <v>0</v>
      </c>
      <c r="G86" s="29">
        <f>SUM(G83:G85)</f>
        <v>280000</v>
      </c>
      <c r="H86" s="25"/>
      <c r="I86" s="25"/>
    </row>
    <row r="87" spans="1:9" x14ac:dyDescent="0.2">
      <c r="B87" s="6"/>
      <c r="C87" s="22"/>
      <c r="D87" s="29"/>
      <c r="E87" s="23"/>
      <c r="F87" s="29"/>
      <c r="G87" s="23"/>
      <c r="H87" s="22"/>
    </row>
    <row r="88" spans="1:9" x14ac:dyDescent="0.2">
      <c r="A88" s="1" t="s">
        <v>0</v>
      </c>
      <c r="B88" s="8">
        <v>280000</v>
      </c>
      <c r="C88" s="1" t="s">
        <v>15</v>
      </c>
      <c r="D88" s="25"/>
    </row>
    <row r="89" spans="1:9" x14ac:dyDescent="0.2">
      <c r="A89" s="1" t="s">
        <v>1</v>
      </c>
      <c r="B89" s="6">
        <f>B86-B88</f>
        <v>120000</v>
      </c>
      <c r="D89" s="25"/>
    </row>
    <row r="91" spans="1:9" x14ac:dyDescent="0.2">
      <c r="A91" s="5" t="s">
        <v>28</v>
      </c>
    </row>
    <row r="92" spans="1:9" x14ac:dyDescent="0.2">
      <c r="A92" s="1" t="s">
        <v>29</v>
      </c>
      <c r="C92" s="6">
        <f>B83</f>
        <v>200000</v>
      </c>
      <c r="E92" s="101" t="s">
        <v>30</v>
      </c>
      <c r="F92" s="101"/>
      <c r="G92" s="101"/>
    </row>
    <row r="93" spans="1:9" x14ac:dyDescent="0.2">
      <c r="E93" s="101"/>
      <c r="F93" s="101"/>
      <c r="G93" s="101"/>
    </row>
    <row r="94" spans="1:9" x14ac:dyDescent="0.2">
      <c r="A94" s="1" t="s">
        <v>31</v>
      </c>
      <c r="C94" s="6">
        <v>160000</v>
      </c>
      <c r="E94" s="101"/>
      <c r="F94" s="101"/>
      <c r="G94" s="101"/>
    </row>
    <row r="95" spans="1:9" x14ac:dyDescent="0.2">
      <c r="E95" s="101"/>
      <c r="F95" s="101"/>
      <c r="G95" s="101"/>
    </row>
    <row r="96" spans="1:9" x14ac:dyDescent="0.2">
      <c r="A96" s="1" t="s">
        <v>32</v>
      </c>
      <c r="C96" s="9">
        <f>E83</f>
        <v>140000</v>
      </c>
    </row>
    <row r="98" spans="1:10" x14ac:dyDescent="0.2">
      <c r="A98" s="1" t="s">
        <v>33</v>
      </c>
    </row>
    <row r="99" spans="1:10" x14ac:dyDescent="0.2">
      <c r="A99" s="1" t="s">
        <v>34</v>
      </c>
    </row>
    <row r="101" spans="1:10" x14ac:dyDescent="0.2">
      <c r="A101" s="44" t="s">
        <v>99</v>
      </c>
      <c r="B101" s="43"/>
      <c r="C101" s="43"/>
      <c r="D101" s="43"/>
      <c r="E101" s="43"/>
      <c r="F101" s="43"/>
      <c r="G101" s="43"/>
      <c r="H101" s="43"/>
    </row>
    <row r="102" spans="1:10" x14ac:dyDescent="0.2">
      <c r="A102" s="43" t="s">
        <v>100</v>
      </c>
      <c r="B102" s="43"/>
      <c r="C102" s="43"/>
      <c r="D102" s="43"/>
      <c r="E102" s="43"/>
      <c r="F102" s="43"/>
      <c r="G102" s="43"/>
      <c r="H102" s="43"/>
    </row>
    <row r="103" spans="1:10" x14ac:dyDescent="0.2">
      <c r="A103" s="43" t="s">
        <v>101</v>
      </c>
      <c r="B103" s="43"/>
      <c r="C103" s="43"/>
      <c r="D103" s="43"/>
      <c r="E103" s="43"/>
      <c r="F103" s="43"/>
      <c r="G103" s="43"/>
      <c r="H103" s="43"/>
    </row>
    <row r="104" spans="1:10" x14ac:dyDescent="0.2">
      <c r="A104" s="43" t="s">
        <v>102</v>
      </c>
      <c r="B104" s="43"/>
      <c r="C104" s="43"/>
      <c r="D104" s="43"/>
      <c r="E104" s="43"/>
      <c r="F104" s="43"/>
      <c r="G104" s="43"/>
      <c r="H104" s="43"/>
      <c r="J104" s="24" t="s">
        <v>111</v>
      </c>
    </row>
    <row r="105" spans="1:10" x14ac:dyDescent="0.2">
      <c r="A105" s="43"/>
      <c r="B105" s="43"/>
      <c r="C105" s="43"/>
      <c r="D105" s="43"/>
      <c r="E105" s="43"/>
      <c r="F105" s="43"/>
      <c r="G105" s="43"/>
      <c r="H105" s="43"/>
      <c r="J105" s="1" t="s">
        <v>112</v>
      </c>
    </row>
    <row r="106" spans="1:10" x14ac:dyDescent="0.2">
      <c r="A106" s="43" t="s">
        <v>103</v>
      </c>
      <c r="B106" s="43"/>
      <c r="C106" s="43"/>
      <c r="D106" s="43">
        <v>200</v>
      </c>
      <c r="E106" s="43"/>
      <c r="F106" s="43"/>
      <c r="G106" s="43"/>
      <c r="H106" s="43"/>
      <c r="J106" s="1" t="s">
        <v>113</v>
      </c>
    </row>
    <row r="107" spans="1:10" x14ac:dyDescent="0.2">
      <c r="A107" s="43" t="s">
        <v>104</v>
      </c>
      <c r="B107" s="43"/>
      <c r="C107" s="43"/>
      <c r="D107" s="43">
        <v>120</v>
      </c>
      <c r="E107" s="43"/>
      <c r="F107" s="43"/>
      <c r="G107" s="43"/>
      <c r="H107" s="43"/>
      <c r="J107" s="1" t="s">
        <v>114</v>
      </c>
    </row>
    <row r="108" spans="1:10" x14ac:dyDescent="0.2">
      <c r="A108" s="43" t="s">
        <v>105</v>
      </c>
      <c r="B108" s="43"/>
      <c r="C108" s="43"/>
      <c r="D108" s="43">
        <v>300</v>
      </c>
      <c r="E108" s="43"/>
      <c r="F108" s="43"/>
      <c r="G108" s="43"/>
      <c r="H108" s="43"/>
      <c r="J108" s="1" t="s">
        <v>115</v>
      </c>
    </row>
    <row r="109" spans="1:10" x14ac:dyDescent="0.2">
      <c r="A109" s="43" t="s">
        <v>106</v>
      </c>
      <c r="B109" s="43"/>
      <c r="C109" s="43"/>
      <c r="D109" s="43">
        <v>150</v>
      </c>
      <c r="E109" s="43"/>
      <c r="F109" s="43"/>
      <c r="G109" s="43"/>
      <c r="H109" s="43"/>
    </row>
    <row r="110" spans="1:10" x14ac:dyDescent="0.2">
      <c r="A110" s="43" t="s">
        <v>97</v>
      </c>
      <c r="B110" s="43"/>
      <c r="C110" s="43"/>
      <c r="D110" s="45">
        <f>SUM(D106:D109)</f>
        <v>770</v>
      </c>
      <c r="E110" s="43"/>
      <c r="F110" s="43"/>
      <c r="G110" s="43"/>
      <c r="H110" s="43"/>
      <c r="J110" s="1" t="s">
        <v>116</v>
      </c>
    </row>
    <row r="111" spans="1:10" x14ac:dyDescent="0.2">
      <c r="A111" s="43"/>
      <c r="B111" s="43"/>
      <c r="C111" s="43"/>
      <c r="D111" s="43"/>
      <c r="E111" s="43"/>
      <c r="F111" s="43"/>
      <c r="G111" s="43"/>
      <c r="H111" s="43"/>
      <c r="J111" s="1" t="s">
        <v>117</v>
      </c>
    </row>
    <row r="112" spans="1:10" x14ac:dyDescent="0.2">
      <c r="A112" s="43" t="s">
        <v>107</v>
      </c>
      <c r="B112" s="43"/>
      <c r="C112" s="43"/>
      <c r="D112" s="43"/>
      <c r="E112" s="43"/>
      <c r="F112" s="43"/>
      <c r="G112" s="43"/>
      <c r="H112" s="43"/>
      <c r="J112" s="1" t="s">
        <v>118</v>
      </c>
    </row>
    <row r="113" spans="1:10" x14ac:dyDescent="0.2">
      <c r="A113" s="43" t="s">
        <v>108</v>
      </c>
      <c r="B113" s="43"/>
      <c r="C113" s="43"/>
      <c r="D113" s="43"/>
      <c r="E113" s="43"/>
      <c r="F113" s="43"/>
      <c r="G113" s="43"/>
      <c r="H113" s="43"/>
      <c r="J113" s="1" t="s">
        <v>119</v>
      </c>
    </row>
    <row r="114" spans="1:10" x14ac:dyDescent="0.2">
      <c r="A114" s="43" t="s">
        <v>109</v>
      </c>
      <c r="B114" s="43"/>
      <c r="C114" s="43"/>
      <c r="D114" s="43"/>
      <c r="E114" s="43"/>
      <c r="F114" s="43"/>
      <c r="G114" s="43"/>
      <c r="H114" s="43"/>
      <c r="J114" s="1" t="s">
        <v>120</v>
      </c>
    </row>
    <row r="115" spans="1:10" x14ac:dyDescent="0.2">
      <c r="A115" s="43" t="s">
        <v>110</v>
      </c>
      <c r="B115" s="43"/>
      <c r="C115" s="43"/>
      <c r="D115" s="43"/>
      <c r="E115" s="43"/>
      <c r="F115" s="43"/>
      <c r="G115" s="43"/>
      <c r="H115" s="43"/>
    </row>
    <row r="116" spans="1:10" x14ac:dyDescent="0.2">
      <c r="A116" s="43"/>
      <c r="B116" s="43"/>
      <c r="C116" s="43"/>
      <c r="D116" s="43"/>
      <c r="E116" s="43"/>
      <c r="F116" s="43"/>
      <c r="G116" s="43"/>
      <c r="H116" s="43"/>
      <c r="J116" s="1" t="s">
        <v>121</v>
      </c>
    </row>
    <row r="117" spans="1:10" x14ac:dyDescent="0.2">
      <c r="A117" s="43"/>
      <c r="B117" s="43"/>
      <c r="C117" s="43"/>
      <c r="D117" s="47" t="s">
        <v>19</v>
      </c>
      <c r="E117" s="47" t="s">
        <v>98</v>
      </c>
      <c r="F117" s="47" t="s">
        <v>127</v>
      </c>
      <c r="G117" s="47" t="s">
        <v>64</v>
      </c>
      <c r="H117" s="47" t="s">
        <v>97</v>
      </c>
      <c r="J117" s="1" t="s">
        <v>122</v>
      </c>
    </row>
    <row r="118" spans="1:10" ht="17" thickBot="1" x14ac:dyDescent="0.25">
      <c r="A118" s="43" t="s">
        <v>103</v>
      </c>
      <c r="B118" s="43"/>
      <c r="C118" s="43"/>
      <c r="D118" s="43">
        <v>200</v>
      </c>
      <c r="E118" s="49">
        <f>D118/$D$122</f>
        <v>0.25974025974025972</v>
      </c>
      <c r="F118" s="51">
        <f>-(770-320)*E118</f>
        <v>-116.88311688311687</v>
      </c>
      <c r="G118" s="51">
        <f>E130</f>
        <v>111.88311688311687</v>
      </c>
      <c r="H118" s="53">
        <f>D118+F118+G118</f>
        <v>195</v>
      </c>
      <c r="J118" s="1" t="s">
        <v>123</v>
      </c>
    </row>
    <row r="119" spans="1:10" x14ac:dyDescent="0.2">
      <c r="A119" s="43" t="s">
        <v>104</v>
      </c>
      <c r="B119" s="43"/>
      <c r="C119" s="43"/>
      <c r="D119" s="43">
        <v>120</v>
      </c>
      <c r="E119" s="49">
        <f t="shared" ref="E119:E121" si="2">D119/$D$122</f>
        <v>0.15584415584415584</v>
      </c>
      <c r="F119" s="55">
        <f t="shared" ref="F119:F121" si="3">-(770-320)*E119</f>
        <v>-70.129870129870127</v>
      </c>
      <c r="G119" s="51">
        <f>-$G$118*F119/$F$133</f>
        <v>-23.554340396445657</v>
      </c>
      <c r="H119" s="51">
        <f>D119+F119+G119</f>
        <v>26.315789473684216</v>
      </c>
      <c r="J119" s="1" t="s">
        <v>124</v>
      </c>
    </row>
    <row r="120" spans="1:10" x14ac:dyDescent="0.2">
      <c r="A120" s="43" t="s">
        <v>105</v>
      </c>
      <c r="B120" s="43"/>
      <c r="C120" s="43"/>
      <c r="D120" s="43">
        <v>300</v>
      </c>
      <c r="E120" s="49">
        <f t="shared" si="2"/>
        <v>0.38961038961038963</v>
      </c>
      <c r="F120" s="56">
        <f t="shared" si="3"/>
        <v>-175.32467532467533</v>
      </c>
      <c r="G120" s="51">
        <f t="shared" ref="G120:G121" si="4">-$G$118*F120/$F$133</f>
        <v>-58.88585099111414</v>
      </c>
      <c r="H120" s="51">
        <f t="shared" ref="H120:H121" si="5">D120+F120+G120</f>
        <v>65.789473684210535</v>
      </c>
      <c r="J120" s="1" t="s">
        <v>125</v>
      </c>
    </row>
    <row r="121" spans="1:10" ht="17" thickBot="1" x14ac:dyDescent="0.25">
      <c r="A121" s="43" t="s">
        <v>106</v>
      </c>
      <c r="B121" s="43"/>
      <c r="C121" s="43"/>
      <c r="D121" s="43">
        <v>150</v>
      </c>
      <c r="E121" s="49">
        <f t="shared" si="2"/>
        <v>0.19480519480519481</v>
      </c>
      <c r="F121" s="57">
        <f t="shared" si="3"/>
        <v>-87.662337662337663</v>
      </c>
      <c r="G121" s="51">
        <f t="shared" si="4"/>
        <v>-29.44292549555707</v>
      </c>
      <c r="H121" s="51">
        <f t="shared" si="5"/>
        <v>32.894736842105267</v>
      </c>
      <c r="J121" s="1" t="s">
        <v>126</v>
      </c>
    </row>
    <row r="122" spans="1:10" x14ac:dyDescent="0.2">
      <c r="A122" s="43" t="s">
        <v>97</v>
      </c>
      <c r="B122" s="43"/>
      <c r="C122" s="43"/>
      <c r="D122" s="45">
        <f>SUM(D118:D121)</f>
        <v>770</v>
      </c>
      <c r="E122" s="50">
        <f t="shared" ref="E122:H122" si="6">SUM(E118:E121)</f>
        <v>1</v>
      </c>
      <c r="F122" s="54">
        <f t="shared" si="6"/>
        <v>-450</v>
      </c>
      <c r="G122" s="48">
        <f t="shared" si="6"/>
        <v>0</v>
      </c>
      <c r="H122" s="48">
        <f t="shared" si="6"/>
        <v>320</v>
      </c>
    </row>
    <row r="123" spans="1:10" x14ac:dyDescent="0.2">
      <c r="A123" s="43"/>
      <c r="B123" s="43"/>
      <c r="C123" s="43"/>
      <c r="D123" s="43"/>
      <c r="E123" s="43"/>
      <c r="F123" s="43"/>
      <c r="G123" s="43"/>
      <c r="H123" s="43"/>
    </row>
    <row r="124" spans="1:10" x14ac:dyDescent="0.2">
      <c r="A124" s="43"/>
      <c r="B124" s="43"/>
      <c r="C124" s="43"/>
      <c r="D124" s="43" t="s">
        <v>128</v>
      </c>
      <c r="E124" s="43"/>
      <c r="F124" s="43"/>
      <c r="G124" s="43"/>
      <c r="H124" s="43"/>
    </row>
    <row r="125" spans="1:10" x14ac:dyDescent="0.2">
      <c r="A125" s="43"/>
      <c r="B125" s="43"/>
      <c r="C125" s="43"/>
      <c r="D125" s="43"/>
      <c r="E125" s="52">
        <f>200+F118</f>
        <v>83.11688311688313</v>
      </c>
      <c r="F125" s="43"/>
      <c r="G125" s="43" t="s">
        <v>129</v>
      </c>
      <c r="H125" s="43"/>
    </row>
    <row r="126" spans="1:10" x14ac:dyDescent="0.2">
      <c r="A126" s="43"/>
      <c r="B126" s="43"/>
      <c r="C126" s="43"/>
      <c r="D126" s="43"/>
      <c r="E126" s="43"/>
      <c r="F126" s="43"/>
      <c r="G126" s="43"/>
      <c r="H126" s="43"/>
    </row>
    <row r="127" spans="1:10" x14ac:dyDescent="0.2">
      <c r="A127" s="43"/>
      <c r="B127" s="43"/>
      <c r="C127" s="43"/>
      <c r="D127" s="43" t="s">
        <v>130</v>
      </c>
      <c r="E127" s="43"/>
      <c r="F127" s="43"/>
      <c r="G127" s="43"/>
      <c r="H127" s="43"/>
    </row>
    <row r="128" spans="1:10" x14ac:dyDescent="0.2">
      <c r="A128" s="43"/>
      <c r="B128" s="43"/>
      <c r="C128" s="43"/>
      <c r="D128" s="43"/>
      <c r="E128" s="43"/>
      <c r="F128" s="43"/>
      <c r="G128" s="43"/>
      <c r="H128" s="43"/>
    </row>
    <row r="129" spans="1:8" x14ac:dyDescent="0.2">
      <c r="A129" s="43"/>
      <c r="B129" s="43"/>
      <c r="C129" s="43"/>
      <c r="D129" s="43" t="s">
        <v>131</v>
      </c>
      <c r="E129" s="43"/>
      <c r="F129" s="43"/>
      <c r="G129" s="43"/>
      <c r="H129" s="43"/>
    </row>
    <row r="130" spans="1:8" x14ac:dyDescent="0.2">
      <c r="A130" s="43"/>
      <c r="B130" s="43"/>
      <c r="C130" s="43"/>
      <c r="D130" s="43"/>
      <c r="E130" s="52">
        <f>195-E125</f>
        <v>111.88311688311687</v>
      </c>
      <c r="F130" s="43"/>
      <c r="G130" s="43" t="s">
        <v>132</v>
      </c>
      <c r="H130" s="43"/>
    </row>
    <row r="131" spans="1:8" x14ac:dyDescent="0.2">
      <c r="A131" s="43"/>
      <c r="B131" s="43"/>
      <c r="C131" s="43"/>
      <c r="D131" s="43"/>
      <c r="E131" s="43"/>
      <c r="F131" s="43"/>
      <c r="G131" s="43"/>
      <c r="H131" s="43"/>
    </row>
    <row r="132" spans="1:8" x14ac:dyDescent="0.2">
      <c r="A132" s="43"/>
      <c r="B132" s="43"/>
      <c r="C132" s="43"/>
      <c r="D132" s="43" t="s">
        <v>133</v>
      </c>
      <c r="E132" s="43"/>
      <c r="F132" s="43"/>
      <c r="G132" s="43"/>
      <c r="H132" s="43"/>
    </row>
    <row r="133" spans="1:8" x14ac:dyDescent="0.2">
      <c r="A133" s="43"/>
      <c r="B133" s="43"/>
      <c r="C133" s="43"/>
      <c r="D133" s="43"/>
      <c r="E133" s="43"/>
      <c r="F133" s="58">
        <f>SUM(F119:F121)</f>
        <v>-333.11688311688312</v>
      </c>
      <c r="G133" s="43"/>
      <c r="H133" s="43"/>
    </row>
    <row r="134" spans="1:8" x14ac:dyDescent="0.2">
      <c r="A134" s="43"/>
      <c r="B134" s="43"/>
      <c r="C134" s="43"/>
      <c r="D134" s="43"/>
      <c r="E134" s="43"/>
      <c r="F134" s="43"/>
      <c r="G134" s="43"/>
      <c r="H134" s="43"/>
    </row>
    <row r="135" spans="1:8" x14ac:dyDescent="0.2">
      <c r="A135" s="43" t="s">
        <v>134</v>
      </c>
      <c r="B135" s="43"/>
      <c r="C135" s="43"/>
      <c r="D135" s="43"/>
      <c r="E135" s="43"/>
      <c r="F135" s="43"/>
      <c r="G135" s="43"/>
      <c r="H135" s="43"/>
    </row>
    <row r="136" spans="1:8" x14ac:dyDescent="0.2">
      <c r="A136" s="43" t="s">
        <v>135</v>
      </c>
      <c r="B136" s="43"/>
      <c r="C136" s="43"/>
      <c r="D136" s="43"/>
      <c r="E136" s="43"/>
      <c r="F136" s="43"/>
      <c r="G136" s="43"/>
      <c r="H136" s="43"/>
    </row>
    <row r="137" spans="1:8" x14ac:dyDescent="0.2">
      <c r="A137" s="43"/>
      <c r="B137" s="43"/>
      <c r="C137" s="43"/>
      <c r="D137" s="43"/>
      <c r="E137" s="43"/>
      <c r="F137" s="43"/>
      <c r="G137" s="43"/>
      <c r="H137" s="43"/>
    </row>
    <row r="138" spans="1:8" x14ac:dyDescent="0.2">
      <c r="A138" s="43"/>
      <c r="B138" s="43"/>
      <c r="C138" s="43"/>
      <c r="D138" s="43"/>
      <c r="E138" s="43"/>
      <c r="F138" s="43"/>
      <c r="G138" s="43"/>
      <c r="H138" s="43"/>
    </row>
    <row r="139" spans="1:8" x14ac:dyDescent="0.2">
      <c r="A139" s="43"/>
      <c r="B139" s="43"/>
      <c r="C139" s="43"/>
      <c r="D139" s="43"/>
      <c r="E139" s="43"/>
      <c r="F139" s="43"/>
      <c r="G139" s="43"/>
      <c r="H139" s="43"/>
    </row>
    <row r="141" spans="1:8" x14ac:dyDescent="0.2">
      <c r="A141" s="4" t="s">
        <v>35</v>
      </c>
    </row>
    <row r="142" spans="1:8" x14ac:dyDescent="0.2">
      <c r="A142" s="1" t="s">
        <v>36</v>
      </c>
    </row>
    <row r="143" spans="1:8" x14ac:dyDescent="0.2">
      <c r="A143" s="1" t="s">
        <v>37</v>
      </c>
    </row>
    <row r="144" spans="1:8" x14ac:dyDescent="0.2">
      <c r="A144" s="1" t="s">
        <v>19</v>
      </c>
      <c r="C144" s="6">
        <v>200000</v>
      </c>
    </row>
    <row r="145" spans="1:7" x14ac:dyDescent="0.2">
      <c r="A145" s="1" t="s">
        <v>14</v>
      </c>
      <c r="C145" s="8">
        <v>160000</v>
      </c>
    </row>
    <row r="146" spans="1:7" x14ac:dyDescent="0.2">
      <c r="A146" s="1" t="s">
        <v>136</v>
      </c>
      <c r="C146" s="6">
        <f>C144-C145</f>
        <v>40000</v>
      </c>
    </row>
    <row r="147" spans="1:7" x14ac:dyDescent="0.2">
      <c r="A147" s="1" t="s">
        <v>137</v>
      </c>
    </row>
    <row r="149" spans="1:7" x14ac:dyDescent="0.2">
      <c r="A149" s="1" t="s">
        <v>138</v>
      </c>
    </row>
    <row r="151" spans="1:7" x14ac:dyDescent="0.2">
      <c r="A151" s="1" t="s">
        <v>139</v>
      </c>
      <c r="E151" s="6">
        <v>400000</v>
      </c>
    </row>
    <row r="152" spans="1:7" x14ac:dyDescent="0.2">
      <c r="A152" s="1" t="s">
        <v>140</v>
      </c>
      <c r="E152" s="6">
        <v>-40000</v>
      </c>
    </row>
    <row r="153" spans="1:7" x14ac:dyDescent="0.2">
      <c r="A153" s="1" t="s">
        <v>141</v>
      </c>
      <c r="E153" s="6">
        <f>E151+E152</f>
        <v>360000</v>
      </c>
    </row>
    <row r="155" spans="1:7" x14ac:dyDescent="0.2">
      <c r="A155" s="1" t="s">
        <v>142</v>
      </c>
      <c r="E155" s="6">
        <v>280000</v>
      </c>
    </row>
    <row r="157" spans="1:7" x14ac:dyDescent="0.2">
      <c r="A157" s="1" t="s">
        <v>143</v>
      </c>
      <c r="E157" s="6">
        <v>80000</v>
      </c>
      <c r="G157" s="1" t="s">
        <v>144</v>
      </c>
    </row>
    <row r="159" spans="1:7" x14ac:dyDescent="0.2">
      <c r="A159" s="1" t="s">
        <v>22</v>
      </c>
      <c r="D159" s="1" t="s">
        <v>16</v>
      </c>
      <c r="E159" s="1" t="s">
        <v>23</v>
      </c>
    </row>
    <row r="160" spans="1:7" x14ac:dyDescent="0.2">
      <c r="A160" s="1" t="s">
        <v>25</v>
      </c>
      <c r="B160" s="6">
        <f>C145</f>
        <v>160000</v>
      </c>
      <c r="C160" s="12">
        <v>0</v>
      </c>
      <c r="D160" s="2">
        <f>C160*$B$89</f>
        <v>0</v>
      </c>
      <c r="E160" s="9">
        <f>B160-D160</f>
        <v>160000</v>
      </c>
      <c r="F160" s="2"/>
      <c r="G160" s="2"/>
    </row>
    <row r="161" spans="1:10" x14ac:dyDescent="0.2">
      <c r="A161" s="1" t="s">
        <v>26</v>
      </c>
      <c r="B161" s="6">
        <v>150000</v>
      </c>
      <c r="C161" s="12">
        <f>B161/(B161+B162)</f>
        <v>0.75</v>
      </c>
      <c r="D161" s="2">
        <f>C161*$B$165</f>
        <v>60000</v>
      </c>
      <c r="E161" s="9">
        <f t="shared" ref="E161:E162" si="7">B161-D161</f>
        <v>90000</v>
      </c>
      <c r="F161" s="2"/>
      <c r="G161" s="2"/>
    </row>
    <row r="162" spans="1:10" ht="19" x14ac:dyDescent="0.35">
      <c r="A162" s="1" t="s">
        <v>27</v>
      </c>
      <c r="B162" s="8">
        <v>50000</v>
      </c>
      <c r="C162" s="12">
        <f>B162/(B161+B162)</f>
        <v>0.25</v>
      </c>
      <c r="D162" s="10">
        <f>C162*$B$165</f>
        <v>20000</v>
      </c>
      <c r="E162" s="11">
        <f t="shared" si="7"/>
        <v>30000</v>
      </c>
      <c r="F162" s="10"/>
      <c r="G162" s="10"/>
    </row>
    <row r="163" spans="1:10" x14ac:dyDescent="0.2">
      <c r="B163" s="6">
        <f>SUM(B160:B162)</f>
        <v>360000</v>
      </c>
      <c r="D163" s="9">
        <f>SUM(D160:D162)</f>
        <v>80000</v>
      </c>
      <c r="E163" s="9">
        <f>SUM(E160:E162)</f>
        <v>280000</v>
      </c>
      <c r="F163" s="9"/>
      <c r="G163" s="9"/>
    </row>
    <row r="164" spans="1:10" x14ac:dyDescent="0.2">
      <c r="A164" s="1" t="s">
        <v>0</v>
      </c>
      <c r="B164" s="8">
        <v>280000</v>
      </c>
      <c r="C164" s="1" t="s">
        <v>15</v>
      </c>
    </row>
    <row r="165" spans="1:10" x14ac:dyDescent="0.2">
      <c r="A165" s="1" t="s">
        <v>1</v>
      </c>
      <c r="B165" s="6">
        <f>B163-B164</f>
        <v>80000</v>
      </c>
      <c r="F165" s="101" t="s">
        <v>38</v>
      </c>
      <c r="G165" s="101"/>
      <c r="H165" s="101"/>
    </row>
    <row r="166" spans="1:10" x14ac:dyDescent="0.2">
      <c r="F166" s="101"/>
      <c r="G166" s="101"/>
      <c r="H166" s="101"/>
    </row>
    <row r="167" spans="1:10" x14ac:dyDescent="0.2">
      <c r="A167" s="1" t="s">
        <v>39</v>
      </c>
      <c r="F167" s="101"/>
      <c r="G167" s="101"/>
      <c r="H167" s="101"/>
    </row>
    <row r="168" spans="1:10" x14ac:dyDescent="0.2">
      <c r="A168" s="1" t="s">
        <v>40</v>
      </c>
      <c r="F168" s="101"/>
      <c r="G168" s="101"/>
      <c r="H168" s="101"/>
    </row>
    <row r="169" spans="1:10" x14ac:dyDescent="0.2">
      <c r="F169" s="101"/>
      <c r="G169" s="101"/>
      <c r="H169" s="101"/>
    </row>
    <row r="170" spans="1:10" x14ac:dyDescent="0.2">
      <c r="F170" s="13"/>
      <c r="G170" s="13"/>
      <c r="H170" s="13"/>
    </row>
    <row r="171" spans="1:10" x14ac:dyDescent="0.2">
      <c r="A171" s="44" t="s">
        <v>99</v>
      </c>
      <c r="B171" s="43"/>
      <c r="C171" s="43"/>
      <c r="D171" s="43"/>
      <c r="E171" s="43"/>
      <c r="F171" s="43"/>
      <c r="G171" s="43"/>
      <c r="H171" s="43"/>
    </row>
    <row r="172" spans="1:10" x14ac:dyDescent="0.2">
      <c r="A172" s="43" t="s">
        <v>100</v>
      </c>
      <c r="B172" s="43"/>
      <c r="C172" s="43"/>
      <c r="D172" s="43"/>
      <c r="E172" s="43"/>
      <c r="F172" s="43"/>
      <c r="G172" s="43"/>
      <c r="H172" s="43"/>
      <c r="J172" s="1" t="s">
        <v>146</v>
      </c>
    </row>
    <row r="173" spans="1:10" x14ac:dyDescent="0.2">
      <c r="A173" s="43" t="s">
        <v>101</v>
      </c>
      <c r="B173" s="43"/>
      <c r="C173" s="43"/>
      <c r="D173" s="43"/>
      <c r="E173" s="43"/>
      <c r="F173" s="43"/>
      <c r="G173" s="43"/>
      <c r="H173" s="43"/>
      <c r="J173" s="1" t="s">
        <v>147</v>
      </c>
    </row>
    <row r="174" spans="1:10" x14ac:dyDescent="0.2">
      <c r="A174" s="43" t="s">
        <v>102</v>
      </c>
      <c r="B174" s="43"/>
      <c r="C174" s="43"/>
      <c r="D174" s="43"/>
      <c r="E174" s="43"/>
      <c r="F174" s="43"/>
      <c r="G174" s="43"/>
      <c r="H174" s="43"/>
      <c r="J174" s="1" t="s">
        <v>148</v>
      </c>
    </row>
    <row r="175" spans="1:10" x14ac:dyDescent="0.2">
      <c r="A175" s="43"/>
      <c r="B175" s="43"/>
      <c r="C175" s="43"/>
      <c r="D175" s="43"/>
      <c r="E175" s="43"/>
      <c r="F175" s="43"/>
      <c r="G175" s="43"/>
      <c r="H175" s="43"/>
      <c r="J175" s="1" t="s">
        <v>149</v>
      </c>
    </row>
    <row r="176" spans="1:10" x14ac:dyDescent="0.2">
      <c r="A176" s="43" t="s">
        <v>103</v>
      </c>
      <c r="B176" s="43"/>
      <c r="C176" s="43"/>
      <c r="D176" s="43">
        <v>200</v>
      </c>
      <c r="E176" s="43"/>
      <c r="F176" s="43"/>
      <c r="G176" s="43"/>
      <c r="H176" s="43"/>
      <c r="J176" s="1" t="s">
        <v>150</v>
      </c>
    </row>
    <row r="177" spans="1:10" x14ac:dyDescent="0.2">
      <c r="A177" s="43" t="s">
        <v>104</v>
      </c>
      <c r="B177" s="43"/>
      <c r="C177" s="43"/>
      <c r="D177" s="43">
        <v>120</v>
      </c>
      <c r="E177" s="43"/>
      <c r="F177" s="43"/>
      <c r="G177" s="43"/>
      <c r="H177" s="43"/>
      <c r="J177" s="1" t="s">
        <v>151</v>
      </c>
    </row>
    <row r="178" spans="1:10" x14ac:dyDescent="0.2">
      <c r="A178" s="43" t="s">
        <v>105</v>
      </c>
      <c r="B178" s="43"/>
      <c r="C178" s="43"/>
      <c r="D178" s="43">
        <v>300</v>
      </c>
      <c r="E178" s="43"/>
      <c r="F178" s="43"/>
      <c r="G178" s="43"/>
      <c r="H178" s="43"/>
      <c r="J178" s="1" t="s">
        <v>152</v>
      </c>
    </row>
    <row r="179" spans="1:10" x14ac:dyDescent="0.2">
      <c r="A179" s="43" t="s">
        <v>106</v>
      </c>
      <c r="B179" s="43"/>
      <c r="C179" s="43"/>
      <c r="D179" s="43">
        <v>150</v>
      </c>
      <c r="E179" s="43"/>
      <c r="F179" s="43"/>
      <c r="G179" s="43"/>
      <c r="H179" s="43"/>
      <c r="J179" s="1" t="s">
        <v>153</v>
      </c>
    </row>
    <row r="180" spans="1:10" x14ac:dyDescent="0.2">
      <c r="A180" s="43" t="s">
        <v>97</v>
      </c>
      <c r="B180" s="43"/>
      <c r="C180" s="43"/>
      <c r="D180" s="45">
        <f>SUM(D176:D179)</f>
        <v>770</v>
      </c>
      <c r="E180" s="43"/>
      <c r="F180" s="43"/>
      <c r="G180" s="43"/>
      <c r="H180" s="43"/>
      <c r="J180" s="1" t="s">
        <v>154</v>
      </c>
    </row>
    <row r="181" spans="1:10" x14ac:dyDescent="0.2">
      <c r="A181" s="43"/>
      <c r="B181" s="43"/>
      <c r="C181" s="43"/>
      <c r="D181" s="43"/>
      <c r="E181" s="43"/>
      <c r="F181" s="43"/>
      <c r="G181" s="43"/>
      <c r="H181" s="43"/>
    </row>
    <row r="182" spans="1:10" x14ac:dyDescent="0.2">
      <c r="A182" s="43" t="s">
        <v>107</v>
      </c>
      <c r="B182" s="43"/>
      <c r="C182" s="43"/>
      <c r="D182" s="43"/>
      <c r="E182" s="43"/>
      <c r="F182" s="43"/>
      <c r="G182" s="43"/>
      <c r="H182" s="43"/>
    </row>
    <row r="183" spans="1:10" x14ac:dyDescent="0.2">
      <c r="A183" s="43" t="s">
        <v>108</v>
      </c>
      <c r="B183" s="43"/>
      <c r="C183" s="43"/>
      <c r="D183" s="43"/>
      <c r="E183" s="43"/>
      <c r="F183" s="43"/>
      <c r="G183" s="43"/>
      <c r="H183" s="43"/>
    </row>
    <row r="184" spans="1:10" x14ac:dyDescent="0.2">
      <c r="A184" s="43" t="s">
        <v>145</v>
      </c>
      <c r="B184" s="43"/>
      <c r="C184" s="43"/>
      <c r="D184" s="43"/>
      <c r="E184" s="43"/>
      <c r="F184" s="43"/>
      <c r="G184" s="43"/>
      <c r="H184" s="43"/>
    </row>
    <row r="185" spans="1:10" x14ac:dyDescent="0.2">
      <c r="A185" s="43" t="s">
        <v>110</v>
      </c>
      <c r="B185" s="43"/>
      <c r="C185" s="43"/>
      <c r="D185" s="43"/>
      <c r="E185" s="43"/>
      <c r="F185" s="43"/>
      <c r="G185" s="43"/>
      <c r="H185" s="43"/>
    </row>
    <row r="186" spans="1:10" x14ac:dyDescent="0.2">
      <c r="A186" s="43"/>
      <c r="B186" s="43"/>
      <c r="C186" s="43"/>
      <c r="D186" s="43"/>
      <c r="E186" s="43"/>
      <c r="F186" s="43"/>
      <c r="G186" s="43"/>
      <c r="H186" s="43"/>
    </row>
    <row r="187" spans="1:10" x14ac:dyDescent="0.2">
      <c r="A187" s="43"/>
      <c r="B187" s="43"/>
      <c r="C187" s="43"/>
      <c r="D187" s="47" t="s">
        <v>19</v>
      </c>
      <c r="E187" s="47" t="s">
        <v>98</v>
      </c>
      <c r="F187" s="47" t="s">
        <v>127</v>
      </c>
      <c r="G187" s="47" t="s">
        <v>97</v>
      </c>
      <c r="H187" s="43"/>
    </row>
    <row r="188" spans="1:10" x14ac:dyDescent="0.2">
      <c r="A188" s="43" t="s">
        <v>103</v>
      </c>
      <c r="B188" s="43"/>
      <c r="C188" s="43"/>
      <c r="D188" s="46">
        <f>20</f>
        <v>20</v>
      </c>
      <c r="E188" s="49">
        <v>0</v>
      </c>
      <c r="F188" s="51">
        <v>0</v>
      </c>
      <c r="G188" s="53">
        <f>D188</f>
        <v>20</v>
      </c>
      <c r="H188" s="43"/>
    </row>
    <row r="189" spans="1:10" x14ac:dyDescent="0.2">
      <c r="A189" s="43" t="s">
        <v>104</v>
      </c>
      <c r="B189" s="43"/>
      <c r="C189" s="43"/>
      <c r="D189" s="59">
        <v>120</v>
      </c>
      <c r="E189" s="49">
        <f>D189/SUM($D$189:$D$191)</f>
        <v>0.21052631578947367</v>
      </c>
      <c r="F189" s="60">
        <f>$D$195*E189</f>
        <v>56.84210526315789</v>
      </c>
      <c r="G189" s="51">
        <f>D189-F189</f>
        <v>63.15789473684211</v>
      </c>
      <c r="H189" s="43"/>
    </row>
    <row r="190" spans="1:10" x14ac:dyDescent="0.2">
      <c r="A190" s="43" t="s">
        <v>105</v>
      </c>
      <c r="B190" s="43"/>
      <c r="C190" s="43"/>
      <c r="D190" s="59">
        <v>300</v>
      </c>
      <c r="E190" s="49">
        <f t="shared" ref="E190:E191" si="8">D190/SUM($D$189:$D$191)</f>
        <v>0.52631578947368418</v>
      </c>
      <c r="F190" s="60">
        <f t="shared" ref="F190:F191" si="9">$D$195*E190</f>
        <v>142.10526315789474</v>
      </c>
      <c r="G190" s="51">
        <f t="shared" ref="G190:G191" si="10">D190-F190</f>
        <v>157.89473684210526</v>
      </c>
      <c r="H190" s="43"/>
    </row>
    <row r="191" spans="1:10" x14ac:dyDescent="0.2">
      <c r="A191" s="43" t="s">
        <v>106</v>
      </c>
      <c r="B191" s="43"/>
      <c r="C191" s="43"/>
      <c r="D191" s="59">
        <v>150</v>
      </c>
      <c r="E191" s="49">
        <f t="shared" si="8"/>
        <v>0.26315789473684209</v>
      </c>
      <c r="F191" s="60">
        <f t="shared" si="9"/>
        <v>71.05263157894737</v>
      </c>
      <c r="G191" s="51">
        <f t="shared" si="10"/>
        <v>78.94736842105263</v>
      </c>
      <c r="H191" s="43"/>
    </row>
    <row r="192" spans="1:10" x14ac:dyDescent="0.2">
      <c r="A192" s="43" t="s">
        <v>97</v>
      </c>
      <c r="B192" s="43"/>
      <c r="C192" s="43"/>
      <c r="D192" s="48">
        <f>SUM(D188:D191)</f>
        <v>590</v>
      </c>
      <c r="E192" s="50">
        <f>SUM(E188:E191)</f>
        <v>1</v>
      </c>
      <c r="F192" s="48">
        <f>SUM(F188:F191)</f>
        <v>270</v>
      </c>
      <c r="G192" s="48">
        <f>SUM(G188:G191)</f>
        <v>320</v>
      </c>
      <c r="H192" s="43"/>
    </row>
    <row r="193" spans="1:8" x14ac:dyDescent="0.2">
      <c r="A193" s="43"/>
      <c r="B193" s="43"/>
      <c r="C193" s="43"/>
      <c r="D193" s="43"/>
      <c r="E193" s="43"/>
      <c r="F193" s="43"/>
      <c r="G193" s="43"/>
      <c r="H193" s="43"/>
    </row>
    <row r="194" spans="1:8" x14ac:dyDescent="0.2">
      <c r="A194" s="43" t="s">
        <v>155</v>
      </c>
      <c r="B194" s="43"/>
      <c r="C194" s="43"/>
      <c r="D194" s="43"/>
      <c r="E194" s="43"/>
      <c r="F194" s="43"/>
      <c r="G194" s="43"/>
      <c r="H194" s="43"/>
    </row>
    <row r="195" spans="1:8" x14ac:dyDescent="0.2">
      <c r="A195" s="43"/>
      <c r="B195" s="43"/>
      <c r="C195" s="43"/>
      <c r="D195" s="46">
        <f>D192-320</f>
        <v>270</v>
      </c>
      <c r="E195" s="52"/>
      <c r="F195" s="43" t="s">
        <v>156</v>
      </c>
      <c r="G195" s="43"/>
      <c r="H195" s="43"/>
    </row>
    <row r="196" spans="1:8" x14ac:dyDescent="0.2">
      <c r="A196" s="43"/>
      <c r="B196" s="43"/>
      <c r="C196" s="43"/>
      <c r="D196" s="43"/>
      <c r="E196" s="43"/>
      <c r="F196" s="43"/>
      <c r="G196" s="43"/>
      <c r="H196" s="43"/>
    </row>
    <row r="197" spans="1:8" x14ac:dyDescent="0.2">
      <c r="F197" s="13"/>
      <c r="G197" s="13"/>
      <c r="H197" s="13"/>
    </row>
    <row r="198" spans="1:8" x14ac:dyDescent="0.2">
      <c r="F198" s="13"/>
      <c r="G198" s="13"/>
      <c r="H198" s="13"/>
    </row>
    <row r="199" spans="1:8" x14ac:dyDescent="0.2">
      <c r="F199" s="13"/>
      <c r="G199" s="13"/>
      <c r="H199" s="13"/>
    </row>
    <row r="200" spans="1:8" x14ac:dyDescent="0.2">
      <c r="F200" s="13"/>
      <c r="G200" s="13"/>
      <c r="H200" s="13"/>
    </row>
    <row r="201" spans="1:8" x14ac:dyDescent="0.2">
      <c r="F201" s="13"/>
      <c r="G201" s="13"/>
      <c r="H201" s="13"/>
    </row>
    <row r="202" spans="1:8" x14ac:dyDescent="0.2">
      <c r="F202" s="13"/>
      <c r="G202" s="13"/>
      <c r="H202" s="13"/>
    </row>
    <row r="203" spans="1:8" x14ac:dyDescent="0.2">
      <c r="F203" s="13"/>
      <c r="G203" s="13"/>
      <c r="H203" s="13"/>
    </row>
    <row r="204" spans="1:8" x14ac:dyDescent="0.2">
      <c r="F204" s="13"/>
      <c r="G204" s="13"/>
      <c r="H204" s="13"/>
    </row>
    <row r="205" spans="1:8" x14ac:dyDescent="0.2">
      <c r="F205" s="13"/>
      <c r="G205" s="13"/>
      <c r="H205" s="13"/>
    </row>
    <row r="206" spans="1:8" x14ac:dyDescent="0.2">
      <c r="F206" s="13"/>
      <c r="G206" s="13"/>
      <c r="H206" s="13"/>
    </row>
    <row r="207" spans="1:8" x14ac:dyDescent="0.2">
      <c r="F207" s="13"/>
      <c r="G207" s="13"/>
      <c r="H207" s="13"/>
    </row>
    <row r="208" spans="1:8" x14ac:dyDescent="0.2">
      <c r="F208" s="13"/>
      <c r="G208" s="13"/>
      <c r="H208" s="13"/>
    </row>
    <row r="209" spans="6:8" x14ac:dyDescent="0.2">
      <c r="F209" s="13"/>
      <c r="G209" s="13"/>
      <c r="H209" s="13"/>
    </row>
    <row r="210" spans="6:8" x14ac:dyDescent="0.2">
      <c r="F210" s="13"/>
      <c r="G210" s="13"/>
      <c r="H210" s="13"/>
    </row>
    <row r="211" spans="6:8" x14ac:dyDescent="0.2">
      <c r="F211" s="13"/>
      <c r="G211" s="13"/>
      <c r="H211" s="13"/>
    </row>
    <row r="212" spans="6:8" x14ac:dyDescent="0.2">
      <c r="F212" s="13"/>
      <c r="G212" s="13"/>
      <c r="H212" s="13"/>
    </row>
    <row r="213" spans="6:8" x14ac:dyDescent="0.2">
      <c r="F213" s="13"/>
      <c r="G213" s="13"/>
      <c r="H213" s="13"/>
    </row>
    <row r="214" spans="6:8" x14ac:dyDescent="0.2">
      <c r="F214" s="13"/>
      <c r="G214" s="13"/>
      <c r="H214" s="13"/>
    </row>
    <row r="215" spans="6:8" x14ac:dyDescent="0.2">
      <c r="F215" s="13"/>
      <c r="G215" s="13"/>
      <c r="H215" s="13"/>
    </row>
    <row r="216" spans="6:8" x14ac:dyDescent="0.2">
      <c r="F216" s="13"/>
      <c r="G216" s="13"/>
      <c r="H216" s="13"/>
    </row>
    <row r="217" spans="6:8" x14ac:dyDescent="0.2">
      <c r="F217" s="13"/>
      <c r="G217" s="13"/>
      <c r="H217" s="13"/>
    </row>
    <row r="218" spans="6:8" x14ac:dyDescent="0.2">
      <c r="F218" s="13"/>
      <c r="G218" s="13"/>
      <c r="H218" s="13"/>
    </row>
    <row r="219" spans="6:8" x14ac:dyDescent="0.2">
      <c r="F219" s="13"/>
      <c r="G219" s="13"/>
      <c r="H219" s="13"/>
    </row>
    <row r="220" spans="6:8" x14ac:dyDescent="0.2">
      <c r="F220" s="13"/>
      <c r="G220" s="13"/>
      <c r="H220" s="13"/>
    </row>
    <row r="221" spans="6:8" x14ac:dyDescent="0.2">
      <c r="F221" s="13"/>
      <c r="G221" s="13"/>
      <c r="H221" s="13"/>
    </row>
    <row r="222" spans="6:8" x14ac:dyDescent="0.2">
      <c r="F222" s="13"/>
      <c r="G222" s="13"/>
      <c r="H222" s="13"/>
    </row>
    <row r="223" spans="6:8" x14ac:dyDescent="0.2">
      <c r="F223" s="13"/>
      <c r="G223" s="13"/>
      <c r="H223" s="13"/>
    </row>
    <row r="224" spans="6:8" x14ac:dyDescent="0.2">
      <c r="F224" s="13"/>
      <c r="G224" s="13"/>
      <c r="H224" s="13"/>
    </row>
    <row r="225" spans="6:8" x14ac:dyDescent="0.2">
      <c r="F225" s="13"/>
      <c r="G225" s="13"/>
      <c r="H225" s="13"/>
    </row>
    <row r="226" spans="6:8" x14ac:dyDescent="0.2">
      <c r="F226" s="13"/>
      <c r="G226" s="13"/>
      <c r="H226" s="13"/>
    </row>
    <row r="227" spans="6:8" x14ac:dyDescent="0.2">
      <c r="F227" s="13"/>
      <c r="G227" s="13"/>
      <c r="H227" s="13"/>
    </row>
    <row r="228" spans="6:8" x14ac:dyDescent="0.2">
      <c r="F228" s="13"/>
      <c r="G228" s="13"/>
      <c r="H228" s="13"/>
    </row>
    <row r="229" spans="6:8" x14ac:dyDescent="0.2">
      <c r="F229" s="13"/>
      <c r="G229" s="13"/>
      <c r="H229" s="13"/>
    </row>
    <row r="230" spans="6:8" x14ac:dyDescent="0.2">
      <c r="F230" s="13"/>
      <c r="G230" s="13"/>
      <c r="H230" s="13"/>
    </row>
    <row r="231" spans="6:8" x14ac:dyDescent="0.2">
      <c r="F231" s="13"/>
      <c r="G231" s="13"/>
      <c r="H231" s="13"/>
    </row>
    <row r="232" spans="6:8" x14ac:dyDescent="0.2">
      <c r="F232" s="13"/>
      <c r="G232" s="13"/>
      <c r="H232" s="13"/>
    </row>
    <row r="233" spans="6:8" x14ac:dyDescent="0.2">
      <c r="F233" s="13"/>
      <c r="G233" s="13"/>
      <c r="H233" s="13"/>
    </row>
    <row r="234" spans="6:8" x14ac:dyDescent="0.2">
      <c r="F234" s="13"/>
      <c r="G234" s="13"/>
      <c r="H234" s="13"/>
    </row>
    <row r="235" spans="6:8" x14ac:dyDescent="0.2">
      <c r="F235" s="13"/>
      <c r="G235" s="13"/>
      <c r="H235" s="13"/>
    </row>
    <row r="236" spans="6:8" x14ac:dyDescent="0.2">
      <c r="F236" s="13"/>
      <c r="G236" s="13"/>
      <c r="H236" s="13"/>
    </row>
    <row r="237" spans="6:8" x14ac:dyDescent="0.2">
      <c r="F237" s="13"/>
      <c r="G237" s="13"/>
      <c r="H237" s="13"/>
    </row>
    <row r="238" spans="6:8" x14ac:dyDescent="0.2">
      <c r="F238" s="13"/>
      <c r="G238" s="13"/>
      <c r="H238" s="13"/>
    </row>
    <row r="239" spans="6:8" x14ac:dyDescent="0.2">
      <c r="F239" s="13"/>
      <c r="G239" s="13"/>
      <c r="H239" s="13"/>
    </row>
    <row r="240" spans="6:8" x14ac:dyDescent="0.2">
      <c r="F240" s="13"/>
      <c r="G240" s="13"/>
      <c r="H240" s="13"/>
    </row>
    <row r="241" spans="6:8" x14ac:dyDescent="0.2">
      <c r="F241" s="13"/>
      <c r="G241" s="13"/>
      <c r="H241" s="13"/>
    </row>
    <row r="242" spans="6:8" x14ac:dyDescent="0.2">
      <c r="F242" s="13"/>
      <c r="G242" s="13"/>
      <c r="H242" s="13"/>
    </row>
    <row r="243" spans="6:8" x14ac:dyDescent="0.2">
      <c r="F243" s="13"/>
      <c r="G243" s="13"/>
      <c r="H243" s="13"/>
    </row>
    <row r="244" spans="6:8" x14ac:dyDescent="0.2">
      <c r="F244" s="13"/>
      <c r="G244" s="13"/>
      <c r="H244" s="13"/>
    </row>
    <row r="245" spans="6:8" x14ac:dyDescent="0.2">
      <c r="F245" s="13"/>
      <c r="G245" s="13"/>
      <c r="H245" s="13"/>
    </row>
    <row r="246" spans="6:8" x14ac:dyDescent="0.2">
      <c r="F246" s="13"/>
      <c r="G246" s="13"/>
      <c r="H246" s="13"/>
    </row>
    <row r="247" spans="6:8" x14ac:dyDescent="0.2">
      <c r="F247" s="13"/>
      <c r="G247" s="13"/>
      <c r="H247" s="13"/>
    </row>
    <row r="248" spans="6:8" x14ac:dyDescent="0.2">
      <c r="F248" s="13"/>
      <c r="G248" s="13"/>
      <c r="H248" s="13"/>
    </row>
    <row r="249" spans="6:8" x14ac:dyDescent="0.2">
      <c r="F249" s="13"/>
      <c r="G249" s="13"/>
      <c r="H249" s="13"/>
    </row>
    <row r="250" spans="6:8" x14ac:dyDescent="0.2">
      <c r="F250" s="13"/>
      <c r="G250" s="13"/>
      <c r="H250" s="13"/>
    </row>
    <row r="251" spans="6:8" x14ac:dyDescent="0.2">
      <c r="F251" s="13"/>
      <c r="G251" s="13"/>
      <c r="H251" s="13"/>
    </row>
    <row r="252" spans="6:8" x14ac:dyDescent="0.2">
      <c r="F252" s="13"/>
      <c r="G252" s="13"/>
      <c r="H252" s="13"/>
    </row>
    <row r="253" spans="6:8" x14ac:dyDescent="0.2">
      <c r="F253" s="13"/>
      <c r="G253" s="13"/>
      <c r="H253" s="13"/>
    </row>
    <row r="254" spans="6:8" x14ac:dyDescent="0.2">
      <c r="F254" s="13"/>
      <c r="G254" s="13"/>
      <c r="H254" s="13"/>
    </row>
    <row r="255" spans="6:8" x14ac:dyDescent="0.2">
      <c r="F255" s="13"/>
      <c r="G255" s="13"/>
      <c r="H255" s="13"/>
    </row>
    <row r="256" spans="6:8" x14ac:dyDescent="0.2">
      <c r="F256" s="13"/>
      <c r="G256" s="13"/>
      <c r="H256" s="13"/>
    </row>
    <row r="257" spans="1:8" x14ac:dyDescent="0.2">
      <c r="F257" s="13"/>
      <c r="G257" s="13"/>
      <c r="H257" s="13"/>
    </row>
    <row r="258" spans="1:8" x14ac:dyDescent="0.2">
      <c r="A258" s="4" t="s">
        <v>41</v>
      </c>
    </row>
    <row r="259" spans="1:8" x14ac:dyDescent="0.2">
      <c r="A259" s="1" t="s">
        <v>42</v>
      </c>
    </row>
    <row r="260" spans="1:8" x14ac:dyDescent="0.2">
      <c r="A260" s="1" t="s">
        <v>43</v>
      </c>
    </row>
    <row r="262" spans="1:8" x14ac:dyDescent="0.2">
      <c r="A262" s="1" t="s">
        <v>22</v>
      </c>
      <c r="D262" s="1" t="s">
        <v>16</v>
      </c>
      <c r="E262" s="1" t="s">
        <v>23</v>
      </c>
    </row>
    <row r="263" spans="1:8" x14ac:dyDescent="0.2">
      <c r="A263" s="1" t="s">
        <v>25</v>
      </c>
      <c r="B263" s="6">
        <v>200000</v>
      </c>
      <c r="C263" s="12">
        <v>0</v>
      </c>
      <c r="D263" s="2">
        <f>C263*$B$89</f>
        <v>0</v>
      </c>
      <c r="E263" s="9">
        <f>B263-D263</f>
        <v>200000</v>
      </c>
    </row>
    <row r="264" spans="1:8" x14ac:dyDescent="0.2">
      <c r="A264" s="1" t="s">
        <v>26</v>
      </c>
      <c r="B264" s="6">
        <v>150000</v>
      </c>
      <c r="C264" s="12">
        <f>B264/(B264+B265)</f>
        <v>0.75</v>
      </c>
      <c r="D264" s="2">
        <f>C264*$B$165</f>
        <v>60000</v>
      </c>
      <c r="E264" s="9">
        <f t="shared" ref="E264:E265" si="11">B264-D264</f>
        <v>90000</v>
      </c>
    </row>
    <row r="265" spans="1:8" ht="19" x14ac:dyDescent="0.35">
      <c r="A265" s="1" t="s">
        <v>27</v>
      </c>
      <c r="B265" s="8">
        <v>50000</v>
      </c>
      <c r="C265" s="12">
        <f>B265/(B264+B265)</f>
        <v>0.25</v>
      </c>
      <c r="D265" s="10">
        <f>C265*$B$165</f>
        <v>20000</v>
      </c>
      <c r="E265" s="11">
        <f t="shared" si="11"/>
        <v>30000</v>
      </c>
    </row>
    <row r="266" spans="1:8" x14ac:dyDescent="0.2">
      <c r="B266" s="6">
        <f>SUM(B263:B265)</f>
        <v>400000</v>
      </c>
      <c r="D266" s="9">
        <f>SUM(D263:D265)</f>
        <v>80000</v>
      </c>
      <c r="E266" s="9">
        <f>SUM(E263:E265)</f>
        <v>320000</v>
      </c>
    </row>
    <row r="267" spans="1:8" x14ac:dyDescent="0.2">
      <c r="A267" s="1" t="s">
        <v>0</v>
      </c>
      <c r="B267" s="8">
        <v>320000</v>
      </c>
      <c r="C267" s="1" t="s">
        <v>15</v>
      </c>
    </row>
    <row r="268" spans="1:8" x14ac:dyDescent="0.2">
      <c r="A268" s="1" t="s">
        <v>1</v>
      </c>
      <c r="B268" s="6">
        <f>B266-B267</f>
        <v>80000</v>
      </c>
    </row>
    <row r="270" spans="1:8" x14ac:dyDescent="0.2">
      <c r="A270" s="1" t="s">
        <v>44</v>
      </c>
    </row>
    <row r="272" spans="1:8" x14ac:dyDescent="0.2">
      <c r="A272" s="1" t="s">
        <v>157</v>
      </c>
    </row>
  </sheetData>
  <mergeCells count="2">
    <mergeCell ref="E92:G95"/>
    <mergeCell ref="F165:H169"/>
  </mergeCells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D99415-A309-4FB2-95D1-3C39435F1866}">
  <dimension ref="A1:P185"/>
  <sheetViews>
    <sheetView rightToLeft="1" topLeftCell="C7" zoomScale="158" workbookViewId="0">
      <selection activeCell="E142" sqref="E142"/>
    </sheetView>
  </sheetViews>
  <sheetFormatPr baseColWidth="10" defaultColWidth="8.83203125" defaultRowHeight="16" x14ac:dyDescent="0.2"/>
  <cols>
    <col min="1" max="1" width="20.33203125" style="1" customWidth="1"/>
    <col min="2" max="2" width="16.6640625" style="1" customWidth="1"/>
    <col min="3" max="3" width="10.83203125" style="1" customWidth="1"/>
    <col min="4" max="4" width="8.83203125" style="1"/>
    <col min="5" max="5" width="11.6640625" style="1" customWidth="1"/>
    <col min="6" max="9" width="8.83203125" style="1"/>
    <col min="10" max="10" width="10" style="1" customWidth="1"/>
    <col min="11" max="11" width="13.33203125" style="1" customWidth="1"/>
    <col min="12" max="16384" width="8.83203125" style="1"/>
  </cols>
  <sheetData>
    <row r="1" spans="1:9" x14ac:dyDescent="0.2">
      <c r="A1" s="1" t="s">
        <v>45</v>
      </c>
    </row>
    <row r="3" spans="1:9" x14ac:dyDescent="0.2">
      <c r="A3" s="63">
        <v>42735</v>
      </c>
      <c r="B3" s="64" t="s">
        <v>158</v>
      </c>
      <c r="C3" s="64"/>
      <c r="D3" s="64"/>
      <c r="E3" s="64"/>
      <c r="F3" s="64"/>
      <c r="G3" s="64"/>
      <c r="H3" s="64"/>
      <c r="I3" s="64"/>
    </row>
    <row r="5" spans="1:9" x14ac:dyDescent="0.2">
      <c r="C5" s="25"/>
      <c r="D5" s="25" t="s">
        <v>162</v>
      </c>
      <c r="E5" s="25"/>
      <c r="F5" s="72" t="s">
        <v>162</v>
      </c>
    </row>
    <row r="6" spans="1:9" x14ac:dyDescent="0.2">
      <c r="A6" s="5" t="s">
        <v>159</v>
      </c>
      <c r="B6" s="5"/>
      <c r="D6" s="37" t="s">
        <v>24</v>
      </c>
      <c r="F6" s="73" t="s">
        <v>163</v>
      </c>
    </row>
    <row r="7" spans="1:9" x14ac:dyDescent="0.2">
      <c r="A7" s="5"/>
      <c r="B7" s="61">
        <v>42735</v>
      </c>
      <c r="C7" s="37" t="s">
        <v>46</v>
      </c>
      <c r="D7" s="37" t="s">
        <v>46</v>
      </c>
      <c r="E7" s="37" t="s">
        <v>48</v>
      </c>
      <c r="F7" s="74" t="s">
        <v>164</v>
      </c>
    </row>
    <row r="8" spans="1:9" x14ac:dyDescent="0.2">
      <c r="A8" s="1" t="s">
        <v>49</v>
      </c>
      <c r="B8" s="2">
        <v>150000</v>
      </c>
      <c r="C8" s="40">
        <f>$B$13*B8/$B$11</f>
        <v>60000</v>
      </c>
      <c r="D8" s="40">
        <f>B8-C8</f>
        <v>90000</v>
      </c>
      <c r="E8" s="40">
        <f>C18-C19</f>
        <v>45000</v>
      </c>
      <c r="F8" s="75">
        <f>E8+D8</f>
        <v>135000</v>
      </c>
    </row>
    <row r="9" spans="1:9" x14ac:dyDescent="0.2">
      <c r="A9" s="1" t="s">
        <v>26</v>
      </c>
      <c r="B9" s="2">
        <v>100000</v>
      </c>
      <c r="C9" s="40">
        <f>$B$13*B9/$B$11</f>
        <v>40000</v>
      </c>
      <c r="D9" s="40">
        <f t="shared" ref="D9:D10" si="0">B9-C9</f>
        <v>60000</v>
      </c>
      <c r="E9" s="29">
        <f>-E8*D9/(D9+D10)</f>
        <v>-30000</v>
      </c>
      <c r="F9" s="75">
        <f t="shared" ref="F9:F11" si="1">E9+D9</f>
        <v>30000</v>
      </c>
    </row>
    <row r="10" spans="1:9" ht="19" x14ac:dyDescent="0.35">
      <c r="A10" s="1" t="s">
        <v>27</v>
      </c>
      <c r="B10" s="3">
        <v>50000</v>
      </c>
      <c r="C10" s="62">
        <f>B10/$B$11*$B$13</f>
        <v>20000</v>
      </c>
      <c r="D10" s="62">
        <f t="shared" si="0"/>
        <v>30000</v>
      </c>
      <c r="E10" s="38">
        <f>-D10/(D10+D9)*E8</f>
        <v>-15000</v>
      </c>
      <c r="F10" s="76">
        <f t="shared" si="1"/>
        <v>15000</v>
      </c>
    </row>
    <row r="11" spans="1:9" x14ac:dyDescent="0.2">
      <c r="A11" s="1" t="s">
        <v>160</v>
      </c>
      <c r="B11" s="2">
        <f>SUM(B8:B10)</f>
        <v>300000</v>
      </c>
      <c r="C11" s="40">
        <f>SUM(C8:C10)</f>
        <v>120000</v>
      </c>
      <c r="D11" s="40">
        <f>B11-C11</f>
        <v>180000</v>
      </c>
      <c r="E11" s="25">
        <f>SUM(E8:E10)</f>
        <v>0</v>
      </c>
      <c r="F11" s="75">
        <f t="shared" si="1"/>
        <v>180000</v>
      </c>
    </row>
    <row r="12" spans="1:9" x14ac:dyDescent="0.2">
      <c r="A12" s="1" t="s">
        <v>50</v>
      </c>
      <c r="B12" s="3">
        <v>180000</v>
      </c>
      <c r="C12" s="2"/>
      <c r="D12" s="2"/>
      <c r="F12" s="9"/>
    </row>
    <row r="13" spans="1:9" x14ac:dyDescent="0.2">
      <c r="A13" s="1" t="s">
        <v>161</v>
      </c>
      <c r="B13" s="71">
        <f>B11-B12</f>
        <v>120000</v>
      </c>
      <c r="C13" s="2"/>
      <c r="D13" s="2"/>
      <c r="F13" s="9"/>
    </row>
    <row r="15" spans="1:9" x14ac:dyDescent="0.2">
      <c r="A15" s="5" t="s">
        <v>51</v>
      </c>
      <c r="E15" s="1" t="s">
        <v>52</v>
      </c>
    </row>
    <row r="16" spans="1:9" x14ac:dyDescent="0.2">
      <c r="A16" s="5" t="s">
        <v>25</v>
      </c>
    </row>
    <row r="17" spans="1:9" x14ac:dyDescent="0.2">
      <c r="A17" s="1" t="s">
        <v>19</v>
      </c>
      <c r="C17" s="2">
        <v>150000</v>
      </c>
      <c r="E17" s="1" t="s">
        <v>165</v>
      </c>
    </row>
    <row r="18" spans="1:9" x14ac:dyDescent="0.2">
      <c r="A18" s="1" t="s">
        <v>31</v>
      </c>
      <c r="C18" s="14">
        <v>135000</v>
      </c>
      <c r="E18" s="1" t="s">
        <v>166</v>
      </c>
    </row>
    <row r="19" spans="1:9" x14ac:dyDescent="0.2">
      <c r="A19" s="1" t="s">
        <v>53</v>
      </c>
      <c r="C19" s="2">
        <f>D8</f>
        <v>90000</v>
      </c>
      <c r="E19" s="1" t="s">
        <v>167</v>
      </c>
    </row>
    <row r="20" spans="1:9" x14ac:dyDescent="0.2">
      <c r="I20" s="1" t="s">
        <v>168</v>
      </c>
    </row>
    <row r="21" spans="1:9" ht="17" thickBot="1" x14ac:dyDescent="0.25">
      <c r="E21" s="1" t="s">
        <v>169</v>
      </c>
    </row>
    <row r="22" spans="1:9" x14ac:dyDescent="0.2">
      <c r="A22" s="31" t="s">
        <v>178</v>
      </c>
      <c r="B22" s="65"/>
      <c r="C22" s="32"/>
      <c r="F22" s="6">
        <v>-30000</v>
      </c>
      <c r="I22" s="39" t="s">
        <v>170</v>
      </c>
    </row>
    <row r="23" spans="1:9" x14ac:dyDescent="0.2">
      <c r="A23" s="66" t="s">
        <v>179</v>
      </c>
      <c r="C23" s="67"/>
      <c r="F23" s="6"/>
      <c r="I23" s="39"/>
    </row>
    <row r="24" spans="1:9" x14ac:dyDescent="0.2">
      <c r="A24" s="66" t="s">
        <v>180</v>
      </c>
      <c r="C24" s="67"/>
      <c r="F24" s="6"/>
      <c r="I24" s="39" t="s">
        <v>85</v>
      </c>
    </row>
    <row r="25" spans="1:9" x14ac:dyDescent="0.2">
      <c r="A25" s="66" t="s">
        <v>181</v>
      </c>
      <c r="C25" s="67"/>
      <c r="F25" s="6" t="s">
        <v>173</v>
      </c>
      <c r="I25" s="39" t="s">
        <v>171</v>
      </c>
    </row>
    <row r="26" spans="1:9" x14ac:dyDescent="0.2">
      <c r="A26" s="66" t="s">
        <v>182</v>
      </c>
      <c r="C26" s="67"/>
      <c r="F26" s="6" t="s">
        <v>174</v>
      </c>
      <c r="I26" s="39"/>
    </row>
    <row r="27" spans="1:9" x14ac:dyDescent="0.2">
      <c r="A27" s="66" t="s">
        <v>183</v>
      </c>
      <c r="C27" s="67"/>
      <c r="F27" s="6" t="s">
        <v>175</v>
      </c>
      <c r="H27" s="1" t="s">
        <v>172</v>
      </c>
      <c r="I27" s="39"/>
    </row>
    <row r="28" spans="1:9" x14ac:dyDescent="0.2">
      <c r="A28" s="66" t="s">
        <v>184</v>
      </c>
      <c r="C28" s="67"/>
      <c r="F28" s="6"/>
      <c r="I28" s="39"/>
    </row>
    <row r="29" spans="1:9" x14ac:dyDescent="0.2">
      <c r="A29" s="66" t="s">
        <v>185</v>
      </c>
      <c r="C29" s="67"/>
      <c r="E29" s="1" t="s">
        <v>176</v>
      </c>
      <c r="F29" s="6"/>
      <c r="I29" s="39"/>
    </row>
    <row r="30" spans="1:9" ht="17" thickBot="1" x14ac:dyDescent="0.25">
      <c r="A30" s="68" t="s">
        <v>186</v>
      </c>
      <c r="B30" s="69"/>
      <c r="C30" s="70"/>
      <c r="F30" s="6">
        <v>-15000</v>
      </c>
      <c r="I30" s="39" t="s">
        <v>177</v>
      </c>
    </row>
    <row r="31" spans="1:9" x14ac:dyDescent="0.2">
      <c r="F31" s="6"/>
      <c r="I31" s="39"/>
    </row>
    <row r="32" spans="1:9" x14ac:dyDescent="0.2">
      <c r="F32" s="6"/>
      <c r="I32" s="39"/>
    </row>
    <row r="33" spans="1:9" x14ac:dyDescent="0.2">
      <c r="F33" s="6"/>
      <c r="I33" s="39"/>
    </row>
    <row r="34" spans="1:9" x14ac:dyDescent="0.2">
      <c r="A34" s="63">
        <v>43100</v>
      </c>
      <c r="B34" s="64" t="s">
        <v>158</v>
      </c>
      <c r="C34" s="64"/>
      <c r="D34" s="64"/>
      <c r="E34" s="64"/>
      <c r="F34" s="64"/>
      <c r="G34" s="64"/>
      <c r="H34" s="64"/>
      <c r="I34" s="64"/>
    </row>
    <row r="35" spans="1:9" x14ac:dyDescent="0.2">
      <c r="A35" s="78" t="s">
        <v>187</v>
      </c>
    </row>
    <row r="36" spans="1:9" x14ac:dyDescent="0.2">
      <c r="A36" s="78" t="s">
        <v>188</v>
      </c>
    </row>
    <row r="37" spans="1:9" x14ac:dyDescent="0.2">
      <c r="A37" s="78" t="s">
        <v>189</v>
      </c>
    </row>
    <row r="38" spans="1:9" x14ac:dyDescent="0.2">
      <c r="A38" s="78"/>
    </row>
    <row r="39" spans="1:9" x14ac:dyDescent="0.2">
      <c r="A39" s="78" t="s">
        <v>190</v>
      </c>
    </row>
    <row r="40" spans="1:9" x14ac:dyDescent="0.2">
      <c r="A40" s="78" t="s">
        <v>191</v>
      </c>
    </row>
    <row r="41" spans="1:9" x14ac:dyDescent="0.2">
      <c r="A41" s="78"/>
    </row>
    <row r="42" spans="1:9" x14ac:dyDescent="0.2">
      <c r="A42" s="78" t="s">
        <v>192</v>
      </c>
    </row>
    <row r="43" spans="1:9" x14ac:dyDescent="0.2">
      <c r="A43" s="77"/>
    </row>
    <row r="44" spans="1:9" x14ac:dyDescent="0.2">
      <c r="A44" s="78" t="s">
        <v>194</v>
      </c>
    </row>
    <row r="45" spans="1:9" x14ac:dyDescent="0.2">
      <c r="A45" s="77"/>
    </row>
    <row r="46" spans="1:9" x14ac:dyDescent="0.2">
      <c r="A46" s="78" t="s">
        <v>197</v>
      </c>
    </row>
    <row r="47" spans="1:9" x14ac:dyDescent="0.2">
      <c r="A47" s="77"/>
    </row>
    <row r="48" spans="1:9" x14ac:dyDescent="0.2">
      <c r="A48" s="78" t="s">
        <v>198</v>
      </c>
    </row>
    <row r="49" spans="1:9" x14ac:dyDescent="0.2">
      <c r="A49" s="78"/>
    </row>
    <row r="50" spans="1:9" x14ac:dyDescent="0.2">
      <c r="A50" s="78" t="s">
        <v>200</v>
      </c>
      <c r="F50" s="6">
        <v>120000</v>
      </c>
    </row>
    <row r="51" spans="1:9" x14ac:dyDescent="0.2">
      <c r="A51" s="78" t="s">
        <v>201</v>
      </c>
      <c r="F51" s="6">
        <v>96000</v>
      </c>
      <c r="H51" s="1" t="s">
        <v>202</v>
      </c>
    </row>
    <row r="52" spans="1:9" x14ac:dyDescent="0.2">
      <c r="A52" s="78"/>
      <c r="E52" s="6"/>
    </row>
    <row r="53" spans="1:9" x14ac:dyDescent="0.2">
      <c r="A53" s="78" t="s">
        <v>203</v>
      </c>
      <c r="E53" s="6"/>
      <c r="F53" s="6">
        <v>9000</v>
      </c>
    </row>
    <row r="54" spans="1:9" x14ac:dyDescent="0.2">
      <c r="A54" s="78"/>
    </row>
    <row r="55" spans="1:9" x14ac:dyDescent="0.2">
      <c r="A55" s="78" t="s">
        <v>204</v>
      </c>
      <c r="F55" s="9">
        <f>B68</f>
        <v>87000</v>
      </c>
      <c r="H55" s="1" t="s">
        <v>205</v>
      </c>
    </row>
    <row r="56" spans="1:9" x14ac:dyDescent="0.2">
      <c r="A56" s="78"/>
      <c r="F56" s="9"/>
    </row>
    <row r="57" spans="1:9" x14ac:dyDescent="0.2">
      <c r="A57" s="78"/>
      <c r="C57" s="1" t="s">
        <v>206</v>
      </c>
      <c r="D57" s="25" t="s">
        <v>209</v>
      </c>
      <c r="E57" s="25" t="s">
        <v>206</v>
      </c>
      <c r="F57" s="9"/>
      <c r="G57" s="25"/>
    </row>
    <row r="58" spans="1:9" x14ac:dyDescent="0.2">
      <c r="C58" s="1" t="s">
        <v>207</v>
      </c>
      <c r="D58" s="25" t="s">
        <v>210</v>
      </c>
      <c r="E58" s="25" t="s">
        <v>213</v>
      </c>
      <c r="F58" s="1" t="s">
        <v>46</v>
      </c>
      <c r="G58" s="25"/>
    </row>
    <row r="59" spans="1:9" x14ac:dyDescent="0.2">
      <c r="C59" s="1" t="s">
        <v>208</v>
      </c>
      <c r="D59" s="25" t="s">
        <v>211</v>
      </c>
      <c r="E59" s="25" t="s">
        <v>214</v>
      </c>
      <c r="F59" s="1" t="s">
        <v>48</v>
      </c>
      <c r="G59" s="25"/>
    </row>
    <row r="60" spans="1:9" x14ac:dyDescent="0.2">
      <c r="B60" s="5" t="s">
        <v>54</v>
      </c>
      <c r="C60" s="37" t="s">
        <v>55</v>
      </c>
      <c r="D60" s="37" t="s">
        <v>212</v>
      </c>
      <c r="E60" s="37" t="s">
        <v>215</v>
      </c>
      <c r="F60" s="37" t="s">
        <v>215</v>
      </c>
      <c r="G60" s="79" t="s">
        <v>47</v>
      </c>
    </row>
    <row r="61" spans="1:9" x14ac:dyDescent="0.2">
      <c r="A61" s="1" t="s">
        <v>49</v>
      </c>
      <c r="B61" s="2">
        <f>B8*4/5</f>
        <v>120000</v>
      </c>
      <c r="C61" s="29">
        <f>F8*4/5</f>
        <v>108000</v>
      </c>
      <c r="D61" s="29">
        <f>C61/$C$64*$B$68</f>
        <v>65250</v>
      </c>
      <c r="E61" s="29">
        <f>D61+C61</f>
        <v>173250</v>
      </c>
      <c r="F61" s="29">
        <f>G61-E61</f>
        <v>-53250</v>
      </c>
      <c r="G61" s="80">
        <v>120000</v>
      </c>
      <c r="I61" s="1" t="s">
        <v>216</v>
      </c>
    </row>
    <row r="62" spans="1:9" x14ac:dyDescent="0.2">
      <c r="A62" s="1" t="s">
        <v>26</v>
      </c>
      <c r="B62" s="2">
        <f>B9*4/5</f>
        <v>80000</v>
      </c>
      <c r="C62" s="29">
        <f>F9*4/5</f>
        <v>24000</v>
      </c>
      <c r="D62" s="29">
        <f>C62/$C$64*$B$68</f>
        <v>14500</v>
      </c>
      <c r="E62" s="29">
        <f t="shared" ref="E62:E63" si="2">D62+C62</f>
        <v>38500</v>
      </c>
      <c r="F62" s="29">
        <f>-F61/(E62+E63)*E62</f>
        <v>35500</v>
      </c>
      <c r="G62" s="80">
        <f>E62+F62</f>
        <v>74000</v>
      </c>
      <c r="I62" s="1" t="s">
        <v>217</v>
      </c>
    </row>
    <row r="63" spans="1:9" ht="19" x14ac:dyDescent="0.35">
      <c r="A63" s="1" t="s">
        <v>27</v>
      </c>
      <c r="B63" s="3">
        <f>B10*4/5</f>
        <v>40000</v>
      </c>
      <c r="C63" s="38">
        <f>F10*4/5</f>
        <v>12000</v>
      </c>
      <c r="D63" s="38">
        <f>C63/$C$64*$B$68</f>
        <v>7250</v>
      </c>
      <c r="E63" s="38">
        <f t="shared" si="2"/>
        <v>19250</v>
      </c>
      <c r="F63" s="38">
        <f>-F61/(E62+E63)*E63</f>
        <v>17750</v>
      </c>
      <c r="G63" s="81">
        <f>E63+F63</f>
        <v>37000</v>
      </c>
      <c r="I63" s="1" t="s">
        <v>218</v>
      </c>
    </row>
    <row r="64" spans="1:9" x14ac:dyDescent="0.2">
      <c r="A64" s="1" t="s">
        <v>193</v>
      </c>
      <c r="B64" s="2">
        <f>SUM(B61:B63)</f>
        <v>240000</v>
      </c>
      <c r="C64" s="29">
        <f>SUM(C61:C63)</f>
        <v>144000</v>
      </c>
      <c r="D64" s="29">
        <f>SUM(D61:D63)</f>
        <v>87000</v>
      </c>
      <c r="E64" s="29">
        <f>SUM(E61:E63)</f>
        <v>231000</v>
      </c>
      <c r="F64" s="29">
        <f>SUM(F61:F63)</f>
        <v>0</v>
      </c>
      <c r="G64" s="80">
        <f t="shared" ref="G64" si="3">F64+E64</f>
        <v>231000</v>
      </c>
      <c r="I64" s="1" t="s">
        <v>219</v>
      </c>
    </row>
    <row r="65" spans="1:9" ht="19" x14ac:dyDescent="0.35">
      <c r="A65" s="1" t="s">
        <v>50</v>
      </c>
      <c r="B65" s="10">
        <v>231000</v>
      </c>
      <c r="E65" s="9"/>
      <c r="G65" s="9"/>
      <c r="I65" s="1" t="s">
        <v>220</v>
      </c>
    </row>
    <row r="66" spans="1:9" x14ac:dyDescent="0.2">
      <c r="A66" s="1" t="s">
        <v>195</v>
      </c>
      <c r="B66" s="9">
        <f>B64-B65</f>
        <v>9000</v>
      </c>
      <c r="G66" s="9"/>
      <c r="I66" s="1" t="s">
        <v>221</v>
      </c>
    </row>
    <row r="67" spans="1:9" ht="19" x14ac:dyDescent="0.35">
      <c r="A67" s="1" t="s">
        <v>196</v>
      </c>
      <c r="B67" s="11">
        <f>B13*4/5</f>
        <v>96000</v>
      </c>
      <c r="G67" s="9"/>
      <c r="I67" s="1" t="s">
        <v>222</v>
      </c>
    </row>
    <row r="68" spans="1:9" x14ac:dyDescent="0.2">
      <c r="A68" s="1" t="s">
        <v>199</v>
      </c>
      <c r="B68" s="82">
        <f>B67-B66</f>
        <v>87000</v>
      </c>
      <c r="G68" s="9"/>
      <c r="I68" s="1" t="s">
        <v>223</v>
      </c>
    </row>
    <row r="69" spans="1:9" x14ac:dyDescent="0.2">
      <c r="I69" s="1" t="s">
        <v>224</v>
      </c>
    </row>
    <row r="70" spans="1:9" x14ac:dyDescent="0.2">
      <c r="A70" s="5" t="s">
        <v>25</v>
      </c>
      <c r="D70" s="5" t="s">
        <v>56</v>
      </c>
      <c r="I70" s="1" t="s">
        <v>225</v>
      </c>
    </row>
    <row r="71" spans="1:9" x14ac:dyDescent="0.2">
      <c r="A71" s="1" t="s">
        <v>57</v>
      </c>
      <c r="B71" s="9">
        <f>E61</f>
        <v>173250</v>
      </c>
      <c r="D71" s="1" t="s">
        <v>25</v>
      </c>
      <c r="E71" s="9">
        <f>E61</f>
        <v>173250</v>
      </c>
      <c r="F71" s="15" t="s">
        <v>58</v>
      </c>
      <c r="I71" s="1" t="s">
        <v>226</v>
      </c>
    </row>
    <row r="72" spans="1:9" x14ac:dyDescent="0.2">
      <c r="A72" s="1" t="s">
        <v>59</v>
      </c>
      <c r="B72" s="16">
        <f>B61</f>
        <v>120000</v>
      </c>
      <c r="D72" s="1" t="s">
        <v>26</v>
      </c>
      <c r="E72" s="9">
        <f>E62</f>
        <v>38500</v>
      </c>
      <c r="F72" s="1" t="s">
        <v>60</v>
      </c>
      <c r="I72" s="1" t="s">
        <v>227</v>
      </c>
    </row>
    <row r="73" spans="1:9" x14ac:dyDescent="0.2">
      <c r="A73" s="1" t="s">
        <v>61</v>
      </c>
      <c r="B73" s="9">
        <v>118000</v>
      </c>
      <c r="D73" s="1" t="s">
        <v>27</v>
      </c>
      <c r="E73" s="9">
        <f>E63</f>
        <v>19250</v>
      </c>
      <c r="F73" s="1" t="s">
        <v>62</v>
      </c>
    </row>
    <row r="74" spans="1:9" x14ac:dyDescent="0.2">
      <c r="D74" s="5" t="s">
        <v>63</v>
      </c>
    </row>
    <row r="75" spans="1:9" x14ac:dyDescent="0.2">
      <c r="D75" s="1" t="s">
        <v>26</v>
      </c>
      <c r="E75" s="9">
        <f>G62</f>
        <v>74000</v>
      </c>
      <c r="F75" s="1" t="s">
        <v>60</v>
      </c>
      <c r="I75" s="1" t="s">
        <v>228</v>
      </c>
    </row>
    <row r="76" spans="1:9" x14ac:dyDescent="0.2">
      <c r="D76" s="1" t="s">
        <v>27</v>
      </c>
      <c r="E76" s="9">
        <f>G63</f>
        <v>37000</v>
      </c>
      <c r="F76" s="1" t="s">
        <v>62</v>
      </c>
      <c r="I76" s="1" t="s">
        <v>229</v>
      </c>
    </row>
    <row r="77" spans="1:9" x14ac:dyDescent="0.2">
      <c r="I77" s="1" t="s">
        <v>230</v>
      </c>
    </row>
    <row r="78" spans="1:9" x14ac:dyDescent="0.2">
      <c r="I78" s="1" t="s">
        <v>231</v>
      </c>
    </row>
    <row r="79" spans="1:9" x14ac:dyDescent="0.2">
      <c r="I79" s="1" t="s">
        <v>232</v>
      </c>
    </row>
    <row r="80" spans="1:9" x14ac:dyDescent="0.2">
      <c r="I80" s="1" t="s">
        <v>233</v>
      </c>
    </row>
    <row r="81" spans="1:9" x14ac:dyDescent="0.2">
      <c r="I81" s="1" t="s">
        <v>234</v>
      </c>
    </row>
    <row r="83" spans="1:9" x14ac:dyDescent="0.2">
      <c r="I83" s="1" t="s">
        <v>235</v>
      </c>
    </row>
    <row r="84" spans="1:9" x14ac:dyDescent="0.2">
      <c r="I84" s="1" t="s">
        <v>236</v>
      </c>
    </row>
    <row r="85" spans="1:9" x14ac:dyDescent="0.2">
      <c r="I85" s="1" t="s">
        <v>237</v>
      </c>
    </row>
    <row r="86" spans="1:9" x14ac:dyDescent="0.2">
      <c r="I86" s="1" t="s">
        <v>238</v>
      </c>
    </row>
    <row r="88" spans="1:9" x14ac:dyDescent="0.2">
      <c r="A88" s="90" t="s">
        <v>239</v>
      </c>
      <c r="B88" s="64"/>
      <c r="C88" s="64"/>
      <c r="D88" s="64"/>
      <c r="E88" s="64"/>
      <c r="F88" s="64"/>
      <c r="G88" s="64"/>
      <c r="H88" s="64"/>
      <c r="I88" s="64"/>
    </row>
    <row r="89" spans="1:9" x14ac:dyDescent="0.2">
      <c r="A89" s="1" t="s">
        <v>240</v>
      </c>
    </row>
    <row r="90" spans="1:9" x14ac:dyDescent="0.2">
      <c r="A90" s="1" t="s">
        <v>244</v>
      </c>
    </row>
    <row r="91" spans="1:9" x14ac:dyDescent="0.2">
      <c r="B91" s="1" t="s">
        <v>243</v>
      </c>
    </row>
    <row r="92" spans="1:9" x14ac:dyDescent="0.2">
      <c r="A92" s="1" t="s">
        <v>103</v>
      </c>
      <c r="B92" s="6">
        <v>500000</v>
      </c>
    </row>
    <row r="93" spans="1:9" x14ac:dyDescent="0.2">
      <c r="A93" s="1" t="s">
        <v>241</v>
      </c>
      <c r="B93" s="6">
        <v>400000</v>
      </c>
    </row>
    <row r="94" spans="1:9" x14ac:dyDescent="0.2">
      <c r="A94" s="1" t="s">
        <v>242</v>
      </c>
      <c r="B94" s="6">
        <v>350000</v>
      </c>
    </row>
    <row r="95" spans="1:9" x14ac:dyDescent="0.2">
      <c r="A95" s="1" t="s">
        <v>105</v>
      </c>
      <c r="B95" s="6">
        <v>150000</v>
      </c>
    </row>
    <row r="96" spans="1:9" x14ac:dyDescent="0.2">
      <c r="A96" s="1" t="s">
        <v>97</v>
      </c>
      <c r="B96" s="6">
        <f>SUM(B92:B95)</f>
        <v>1400000</v>
      </c>
    </row>
    <row r="98" spans="1:6" x14ac:dyDescent="0.2">
      <c r="A98" s="1" t="s">
        <v>245</v>
      </c>
    </row>
    <row r="99" spans="1:6" x14ac:dyDescent="0.2">
      <c r="A99" s="1" t="s">
        <v>246</v>
      </c>
    </row>
    <row r="100" spans="1:6" x14ac:dyDescent="0.2">
      <c r="A100" s="1" t="s">
        <v>247</v>
      </c>
    </row>
    <row r="101" spans="1:6" x14ac:dyDescent="0.2">
      <c r="A101" s="1" t="s">
        <v>248</v>
      </c>
    </row>
    <row r="102" spans="1:6" x14ac:dyDescent="0.2">
      <c r="A102" s="1" t="s">
        <v>249</v>
      </c>
    </row>
    <row r="103" spans="1:6" x14ac:dyDescent="0.2">
      <c r="A103" s="1" t="s">
        <v>250</v>
      </c>
    </row>
    <row r="105" spans="1:6" x14ac:dyDescent="0.2">
      <c r="A105" s="1" t="s">
        <v>251</v>
      </c>
    </row>
    <row r="107" spans="1:6" x14ac:dyDescent="0.2">
      <c r="A107" s="1" t="s">
        <v>252</v>
      </c>
    </row>
    <row r="109" spans="1:6" ht="51" x14ac:dyDescent="0.2">
      <c r="A109" s="17" t="s">
        <v>260</v>
      </c>
      <c r="B109" s="83" t="s">
        <v>266</v>
      </c>
      <c r="C109" s="83" t="s">
        <v>46</v>
      </c>
      <c r="D109" s="83" t="s">
        <v>253</v>
      </c>
      <c r="E109" s="83" t="s">
        <v>254</v>
      </c>
      <c r="F109" s="83" t="s">
        <v>255</v>
      </c>
    </row>
    <row r="110" spans="1:6" x14ac:dyDescent="0.2">
      <c r="A110" s="1" t="s">
        <v>103</v>
      </c>
      <c r="B110" s="84">
        <v>500000</v>
      </c>
      <c r="C110" s="84">
        <f>$B$118*B110/$B$114</f>
        <v>142857.14285714287</v>
      </c>
      <c r="D110" s="88">
        <f>B110-C110</f>
        <v>357142.85714285716</v>
      </c>
      <c r="E110" s="87" t="s">
        <v>258</v>
      </c>
      <c r="F110" s="87" t="s">
        <v>258</v>
      </c>
    </row>
    <row r="111" spans="1:6" x14ac:dyDescent="0.2">
      <c r="A111" s="86" t="s">
        <v>241</v>
      </c>
      <c r="B111" s="84">
        <v>400000</v>
      </c>
      <c r="C111" s="84">
        <f t="shared" ref="C111:C113" si="4">$B$118*B111/$B$114</f>
        <v>114285.71428571429</v>
      </c>
      <c r="D111" s="88">
        <f t="shared" ref="D111:D113" si="5">B111-C111</f>
        <v>285714.28571428568</v>
      </c>
      <c r="E111" s="87" t="s">
        <v>258</v>
      </c>
      <c r="F111" s="87" t="s">
        <v>258</v>
      </c>
    </row>
    <row r="112" spans="1:6" x14ac:dyDescent="0.2">
      <c r="A112" s="1" t="s">
        <v>242</v>
      </c>
      <c r="B112" s="84">
        <v>350000</v>
      </c>
      <c r="C112" s="84">
        <f t="shared" si="4"/>
        <v>100000</v>
      </c>
      <c r="D112" s="88">
        <f t="shared" si="5"/>
        <v>250000</v>
      </c>
      <c r="E112" s="87" t="s">
        <v>258</v>
      </c>
      <c r="F112" s="87" t="s">
        <v>258</v>
      </c>
    </row>
    <row r="113" spans="1:7" x14ac:dyDescent="0.2">
      <c r="A113" s="1" t="s">
        <v>105</v>
      </c>
      <c r="B113" s="84">
        <v>150000</v>
      </c>
      <c r="C113" s="84">
        <f t="shared" si="4"/>
        <v>42857.142857142855</v>
      </c>
      <c r="D113" s="88">
        <f t="shared" si="5"/>
        <v>107142.85714285714</v>
      </c>
      <c r="E113" s="87" t="s">
        <v>258</v>
      </c>
      <c r="F113" s="87" t="s">
        <v>258</v>
      </c>
    </row>
    <row r="114" spans="1:7" x14ac:dyDescent="0.2">
      <c r="A114" s="1" t="s">
        <v>97</v>
      </c>
      <c r="B114" s="85">
        <f>SUM(B110:B113)</f>
        <v>1400000</v>
      </c>
      <c r="C114" s="85">
        <f>SUM(C110:C113)</f>
        <v>400000</v>
      </c>
      <c r="D114" s="89">
        <f>SUM(D110:D113)</f>
        <v>1000000</v>
      </c>
      <c r="E114" s="85" t="s">
        <v>258</v>
      </c>
      <c r="F114" s="85" t="s">
        <v>258</v>
      </c>
    </row>
    <row r="116" spans="1:7" x14ac:dyDescent="0.2">
      <c r="A116" s="1" t="s">
        <v>256</v>
      </c>
      <c r="B116" s="84">
        <f>1000000</f>
        <v>1000000</v>
      </c>
    </row>
    <row r="118" spans="1:7" x14ac:dyDescent="0.2">
      <c r="A118" s="1" t="s">
        <v>257</v>
      </c>
      <c r="B118" s="84">
        <f>B114-B116</f>
        <v>400000</v>
      </c>
    </row>
    <row r="121" spans="1:7" ht="51" x14ac:dyDescent="0.2">
      <c r="A121" s="17" t="s">
        <v>259</v>
      </c>
      <c r="B121" s="83" t="s">
        <v>265</v>
      </c>
      <c r="C121" s="83" t="s">
        <v>264</v>
      </c>
      <c r="D121" s="83" t="s">
        <v>46</v>
      </c>
      <c r="E121" s="83" t="s">
        <v>253</v>
      </c>
      <c r="F121" s="83" t="s">
        <v>254</v>
      </c>
      <c r="G121" s="83" t="s">
        <v>255</v>
      </c>
    </row>
    <row r="122" spans="1:7" x14ac:dyDescent="0.2">
      <c r="A122" s="1" t="s">
        <v>103</v>
      </c>
      <c r="B122" s="84">
        <f>B110*9/10</f>
        <v>450000</v>
      </c>
      <c r="C122" s="88">
        <f>D110*9/10</f>
        <v>321428.57142857148</v>
      </c>
      <c r="D122" s="84">
        <f>C122/$C$126*$B$134</f>
        <v>89285.71428571429</v>
      </c>
      <c r="E122" s="84">
        <f>C122+D122</f>
        <v>410714.2857142858</v>
      </c>
      <c r="F122" s="87" t="s">
        <v>258</v>
      </c>
      <c r="G122" s="87" t="s">
        <v>258</v>
      </c>
    </row>
    <row r="123" spans="1:7" x14ac:dyDescent="0.2">
      <c r="A123" s="86" t="s">
        <v>241</v>
      </c>
      <c r="B123" s="84">
        <f>B111*9/10</f>
        <v>360000</v>
      </c>
      <c r="C123" s="88">
        <f>D111*9/10</f>
        <v>257142.8571428571</v>
      </c>
      <c r="D123" s="84">
        <f>C123/$C$126*$B$134</f>
        <v>71428.571428571406</v>
      </c>
      <c r="E123" s="84">
        <f t="shared" ref="E123:E125" si="6">C123+D123</f>
        <v>328571.42857142852</v>
      </c>
      <c r="F123" s="87" t="s">
        <v>258</v>
      </c>
      <c r="G123" s="87" t="s">
        <v>258</v>
      </c>
    </row>
    <row r="124" spans="1:7" x14ac:dyDescent="0.2">
      <c r="A124" s="1" t="s">
        <v>242</v>
      </c>
      <c r="B124" s="84">
        <f>B112*9/10</f>
        <v>315000</v>
      </c>
      <c r="C124" s="88">
        <f>D112*9/10</f>
        <v>225000</v>
      </c>
      <c r="D124" s="84">
        <f>C124/$C$126*$B$134</f>
        <v>62499.999999999993</v>
      </c>
      <c r="E124" s="84">
        <f t="shared" si="6"/>
        <v>287500</v>
      </c>
      <c r="F124" s="87" t="s">
        <v>258</v>
      </c>
      <c r="G124" s="87" t="s">
        <v>258</v>
      </c>
    </row>
    <row r="125" spans="1:7" x14ac:dyDescent="0.2">
      <c r="A125" s="1" t="s">
        <v>105</v>
      </c>
      <c r="B125" s="84">
        <f>B113*9/10</f>
        <v>135000</v>
      </c>
      <c r="C125" s="88">
        <f>D113*9/10</f>
        <v>96428.571428571435</v>
      </c>
      <c r="D125" s="84">
        <f>C125/$C$126*$B$134</f>
        <v>26785.714285714283</v>
      </c>
      <c r="E125" s="84">
        <f t="shared" si="6"/>
        <v>123214.28571428571</v>
      </c>
      <c r="F125" s="87" t="s">
        <v>258</v>
      </c>
      <c r="G125" s="87" t="s">
        <v>258</v>
      </c>
    </row>
    <row r="126" spans="1:7" x14ac:dyDescent="0.2">
      <c r="A126" s="1" t="s">
        <v>97</v>
      </c>
      <c r="B126" s="85">
        <f>SUM(B122:B125)</f>
        <v>1260000</v>
      </c>
      <c r="C126" s="89">
        <f>SUM(C122:C125)</f>
        <v>900000.00000000012</v>
      </c>
      <c r="D126" s="85">
        <f>SUM(D122:D125)</f>
        <v>249999.99999999997</v>
      </c>
      <c r="E126" s="85">
        <f>SUM(E122:E125)</f>
        <v>1150000</v>
      </c>
      <c r="F126" s="85" t="s">
        <v>258</v>
      </c>
      <c r="G126" s="85" t="s">
        <v>258</v>
      </c>
    </row>
    <row r="128" spans="1:7" x14ac:dyDescent="0.2">
      <c r="A128" s="1" t="s">
        <v>256</v>
      </c>
      <c r="B128" s="84">
        <v>1150000</v>
      </c>
    </row>
    <row r="130" spans="1:8" x14ac:dyDescent="0.2">
      <c r="A130" s="1" t="s">
        <v>262</v>
      </c>
      <c r="B130" s="84">
        <f>B126-B128</f>
        <v>110000</v>
      </c>
    </row>
    <row r="132" spans="1:8" x14ac:dyDescent="0.2">
      <c r="A132" s="1" t="s">
        <v>263</v>
      </c>
      <c r="B132" s="84">
        <f>B118*9/10</f>
        <v>360000</v>
      </c>
    </row>
    <row r="134" spans="1:8" x14ac:dyDescent="0.2">
      <c r="A134" s="1" t="s">
        <v>261</v>
      </c>
      <c r="B134" s="84">
        <f>B132-B130</f>
        <v>250000</v>
      </c>
    </row>
    <row r="136" spans="1:8" x14ac:dyDescent="0.2">
      <c r="A136" s="64" t="s">
        <v>267</v>
      </c>
      <c r="B136" s="64"/>
      <c r="C136" s="64"/>
      <c r="D136" s="64"/>
      <c r="E136" s="64"/>
      <c r="F136" s="64"/>
      <c r="G136" s="64"/>
      <c r="H136" s="64"/>
    </row>
    <row r="137" spans="1:8" x14ac:dyDescent="0.2">
      <c r="A137" s="1" t="s">
        <v>268</v>
      </c>
    </row>
    <row r="139" spans="1:8" x14ac:dyDescent="0.2">
      <c r="A139" s="1" t="s">
        <v>269</v>
      </c>
      <c r="B139" s="6">
        <v>150000</v>
      </c>
    </row>
    <row r="140" spans="1:8" x14ac:dyDescent="0.2">
      <c r="A140" s="1" t="s">
        <v>270</v>
      </c>
      <c r="B140" s="6">
        <v>200000</v>
      </c>
    </row>
    <row r="141" spans="1:8" x14ac:dyDescent="0.2">
      <c r="A141" s="1" t="s">
        <v>271</v>
      </c>
      <c r="B141" s="6">
        <v>250000</v>
      </c>
    </row>
    <row r="142" spans="1:8" ht="34" x14ac:dyDescent="0.2">
      <c r="A142" s="1" t="s">
        <v>272</v>
      </c>
      <c r="B142" s="6">
        <v>300000</v>
      </c>
      <c r="E142" s="100" t="s">
        <v>314</v>
      </c>
    </row>
    <row r="143" spans="1:8" x14ac:dyDescent="0.2">
      <c r="A143" s="1" t="s">
        <v>97</v>
      </c>
      <c r="B143" s="6">
        <f>SUM(B139:B142)</f>
        <v>900000</v>
      </c>
    </row>
    <row r="145" spans="1:16" x14ac:dyDescent="0.2">
      <c r="A145" s="1" t="s">
        <v>273</v>
      </c>
    </row>
    <row r="146" spans="1:16" x14ac:dyDescent="0.2">
      <c r="A146" s="1" t="s">
        <v>274</v>
      </c>
    </row>
    <row r="148" spans="1:16" x14ac:dyDescent="0.2">
      <c r="A148" s="1" t="s">
        <v>275</v>
      </c>
    </row>
    <row r="149" spans="1:16" x14ac:dyDescent="0.2">
      <c r="A149" s="1" t="s">
        <v>276</v>
      </c>
    </row>
    <row r="150" spans="1:16" x14ac:dyDescent="0.2">
      <c r="A150" s="1" t="s">
        <v>277</v>
      </c>
    </row>
    <row r="152" spans="1:16" x14ac:dyDescent="0.2">
      <c r="A152" s="1" t="s">
        <v>278</v>
      </c>
    </row>
    <row r="154" spans="1:16" x14ac:dyDescent="0.2">
      <c r="A154" s="1" t="s">
        <v>279</v>
      </c>
    </row>
    <row r="155" spans="1:16" x14ac:dyDescent="0.2">
      <c r="A155" s="1" t="s">
        <v>280</v>
      </c>
    </row>
    <row r="156" spans="1:16" x14ac:dyDescent="0.2">
      <c r="A156" s="1" t="s">
        <v>281</v>
      </c>
    </row>
    <row r="158" spans="1:16" x14ac:dyDescent="0.2">
      <c r="A158" s="1" t="s">
        <v>282</v>
      </c>
      <c r="I158" s="24" t="s">
        <v>296</v>
      </c>
    </row>
    <row r="160" spans="1:16" ht="51" x14ac:dyDescent="0.2">
      <c r="A160" s="17" t="s">
        <v>283</v>
      </c>
      <c r="B160" s="17" t="s">
        <v>206</v>
      </c>
      <c r="C160" s="17" t="s">
        <v>46</v>
      </c>
      <c r="D160" s="17" t="s">
        <v>288</v>
      </c>
      <c r="E160" s="17" t="s">
        <v>289</v>
      </c>
      <c r="F160" s="17" t="s">
        <v>290</v>
      </c>
      <c r="I160" s="17" t="s">
        <v>259</v>
      </c>
      <c r="J160" s="83" t="s">
        <v>265</v>
      </c>
      <c r="K160" s="83" t="s">
        <v>264</v>
      </c>
      <c r="L160" s="42" t="s">
        <v>291</v>
      </c>
      <c r="M160" s="83" t="s">
        <v>292</v>
      </c>
      <c r="N160" s="83" t="s">
        <v>313</v>
      </c>
      <c r="O160" s="83" t="s">
        <v>293</v>
      </c>
      <c r="P160" s="91"/>
    </row>
    <row r="161" spans="1:16" x14ac:dyDescent="0.2">
      <c r="A161" s="1" t="s">
        <v>284</v>
      </c>
      <c r="B161" s="6">
        <f>B139</f>
        <v>150000</v>
      </c>
      <c r="C161" s="26">
        <f>-$B$169*B161/$B$165</f>
        <v>-66666.666666666672</v>
      </c>
      <c r="D161" s="26">
        <f>B161+C161</f>
        <v>83333.333333333328</v>
      </c>
      <c r="E161" s="26">
        <f>-$E$164*D161/($D$163+$D$162+$D$161)</f>
        <v>-30833.333333333339</v>
      </c>
      <c r="F161" s="94">
        <f>D161+E161</f>
        <v>52499.999999999985</v>
      </c>
      <c r="I161" s="1" t="s">
        <v>284</v>
      </c>
      <c r="J161" s="84">
        <f>B161*9/10</f>
        <v>135000</v>
      </c>
      <c r="K161" s="95">
        <f>F161*9/10</f>
        <v>47249.999999999985</v>
      </c>
      <c r="L161" s="25"/>
      <c r="M161" s="97">
        <f>K161</f>
        <v>47249.999999999985</v>
      </c>
      <c r="N161" s="97">
        <f>$N$179/($M$161+$M$162+$M$163)*M161</f>
        <v>87749.999999999985</v>
      </c>
      <c r="O161" s="97">
        <f>M161+N161</f>
        <v>134999.99999999997</v>
      </c>
      <c r="P161" s="84"/>
    </row>
    <row r="162" spans="1:16" x14ac:dyDescent="0.2">
      <c r="A162" s="1" t="s">
        <v>285</v>
      </c>
      <c r="B162" s="6">
        <f>B140</f>
        <v>200000</v>
      </c>
      <c r="C162" s="26">
        <f>-$B$169*B162/$B$165</f>
        <v>-88888.888888888891</v>
      </c>
      <c r="D162" s="26">
        <f t="shared" ref="D162:D164" si="7">B162+C162</f>
        <v>111111.11111111111</v>
      </c>
      <c r="E162" s="26">
        <f>-$E$164*D162/($D$163+$D$162+$D$161)</f>
        <v>-41111.111111111117</v>
      </c>
      <c r="F162" s="94">
        <f t="shared" ref="F162:F163" si="8">D162+E162</f>
        <v>70000</v>
      </c>
      <c r="I162" s="1" t="s">
        <v>285</v>
      </c>
      <c r="J162" s="84">
        <f>B162*9/10</f>
        <v>180000</v>
      </c>
      <c r="K162" s="95">
        <f>F162*9/10</f>
        <v>63000</v>
      </c>
      <c r="L162" s="25"/>
      <c r="M162" s="97">
        <f>K162</f>
        <v>63000</v>
      </c>
      <c r="N162" s="97">
        <f>$N$179/($M$161+$M$162+$M$163)*M162</f>
        <v>117000.00000000001</v>
      </c>
      <c r="O162" s="97">
        <f>M162+N162</f>
        <v>180000</v>
      </c>
      <c r="P162" s="84"/>
    </row>
    <row r="163" spans="1:16" x14ac:dyDescent="0.2">
      <c r="A163" s="1" t="s">
        <v>286</v>
      </c>
      <c r="B163" s="6">
        <f>B141</f>
        <v>250000</v>
      </c>
      <c r="C163" s="26">
        <f>-$B$169*B163/$B$165</f>
        <v>-111111.11111111111</v>
      </c>
      <c r="D163" s="26">
        <f t="shared" si="7"/>
        <v>138888.88888888888</v>
      </c>
      <c r="E163" s="26">
        <f>-$E$164*D163/($D$163+$D$162+$D$161)</f>
        <v>-51388.888888888891</v>
      </c>
      <c r="F163" s="94">
        <f t="shared" si="8"/>
        <v>87499.999999999985</v>
      </c>
      <c r="I163" s="1" t="s">
        <v>286</v>
      </c>
      <c r="J163" s="84">
        <f>B163*9/10</f>
        <v>225000</v>
      </c>
      <c r="K163" s="95">
        <f>F163*9/10</f>
        <v>78749.999999999985</v>
      </c>
      <c r="L163" s="25"/>
      <c r="M163" s="97">
        <f>K163</f>
        <v>78749.999999999985</v>
      </c>
      <c r="N163" s="97">
        <f>$N$179/($M$161+$M$162+$M$163)*M163</f>
        <v>146250</v>
      </c>
      <c r="O163" s="97">
        <f>M163+N163</f>
        <v>225000</v>
      </c>
      <c r="P163" s="84"/>
    </row>
    <row r="164" spans="1:16" x14ac:dyDescent="0.2">
      <c r="A164" s="73" t="s">
        <v>287</v>
      </c>
      <c r="B164" s="6">
        <f>B142</f>
        <v>300000</v>
      </c>
      <c r="C164" s="26">
        <f>-$B$169*B164/$B$165</f>
        <v>-133333.33333333334</v>
      </c>
      <c r="D164" s="26">
        <f t="shared" si="7"/>
        <v>166666.66666666666</v>
      </c>
      <c r="E164" s="26">
        <f>F164-D164</f>
        <v>123333.33333333334</v>
      </c>
      <c r="F164" s="93">
        <v>290000</v>
      </c>
      <c r="I164" s="86" t="s">
        <v>287</v>
      </c>
      <c r="J164" s="84">
        <f>B164*9/10</f>
        <v>270000</v>
      </c>
      <c r="K164" s="95">
        <f>F164*9/10</f>
        <v>261000</v>
      </c>
      <c r="L164" s="97">
        <f>-161000</f>
        <v>-161000</v>
      </c>
      <c r="M164" s="99">
        <f>K164+L164</f>
        <v>100000</v>
      </c>
      <c r="N164" s="97">
        <v>0</v>
      </c>
      <c r="O164" s="99">
        <f>M164+N164</f>
        <v>100000</v>
      </c>
      <c r="P164" s="87"/>
    </row>
    <row r="165" spans="1:16" x14ac:dyDescent="0.2">
      <c r="A165" s="1" t="s">
        <v>97</v>
      </c>
      <c r="B165" s="19">
        <f>SUM(B161:B164)</f>
        <v>900000</v>
      </c>
      <c r="C165" s="92">
        <f>SUM(C161:C164)</f>
        <v>-400000</v>
      </c>
      <c r="D165" s="92">
        <f>SUM(D161:D164)</f>
        <v>500000</v>
      </c>
      <c r="E165" s="92">
        <f>SUM(E161:E164)</f>
        <v>0</v>
      </c>
      <c r="F165" s="92">
        <f>SUM(F161:F164)</f>
        <v>500000</v>
      </c>
      <c r="I165" s="1" t="s">
        <v>97</v>
      </c>
      <c r="J165" s="85">
        <f t="shared" ref="J165:O165" si="9">SUM(J161:J164)</f>
        <v>810000</v>
      </c>
      <c r="K165" s="96">
        <f t="shared" si="9"/>
        <v>450000</v>
      </c>
      <c r="L165" s="98">
        <f t="shared" si="9"/>
        <v>-161000</v>
      </c>
      <c r="M165" s="98">
        <f t="shared" si="9"/>
        <v>289000</v>
      </c>
      <c r="N165" s="98">
        <f t="shared" si="9"/>
        <v>351000</v>
      </c>
      <c r="O165" s="98">
        <f t="shared" si="9"/>
        <v>640000</v>
      </c>
      <c r="P165" s="84"/>
    </row>
    <row r="166" spans="1:16" x14ac:dyDescent="0.2">
      <c r="D166" s="25"/>
      <c r="E166" s="25"/>
      <c r="F166" s="25"/>
    </row>
    <row r="167" spans="1:16" x14ac:dyDescent="0.2">
      <c r="A167" s="1" t="s">
        <v>256</v>
      </c>
      <c r="B167" s="6">
        <v>500000</v>
      </c>
      <c r="D167" s="25"/>
      <c r="E167" s="25"/>
      <c r="F167" s="25"/>
      <c r="I167" s="1" t="s">
        <v>256</v>
      </c>
      <c r="J167" s="84">
        <v>750000</v>
      </c>
      <c r="K167" s="1" t="s">
        <v>308</v>
      </c>
      <c r="L167" s="6"/>
      <c r="M167" s="84"/>
    </row>
    <row r="168" spans="1:16" x14ac:dyDescent="0.2">
      <c r="D168" s="25"/>
      <c r="E168" s="25"/>
      <c r="F168" s="25"/>
      <c r="I168" s="1" t="s">
        <v>305</v>
      </c>
      <c r="J168" s="84">
        <v>100000</v>
      </c>
      <c r="K168" s="1" t="s">
        <v>306</v>
      </c>
      <c r="M168" s="87"/>
    </row>
    <row r="169" spans="1:16" x14ac:dyDescent="0.2">
      <c r="A169" s="1" t="s">
        <v>257</v>
      </c>
      <c r="B169" s="6">
        <f>B165-B167</f>
        <v>400000</v>
      </c>
      <c r="I169" s="1" t="s">
        <v>307</v>
      </c>
      <c r="J169" s="84">
        <f>J167-100000</f>
        <v>650000</v>
      </c>
      <c r="K169" s="1" t="s">
        <v>294</v>
      </c>
    </row>
    <row r="170" spans="1:16" ht="51" x14ac:dyDescent="0.2">
      <c r="M170" s="17" t="s">
        <v>259</v>
      </c>
      <c r="N170" s="83" t="s">
        <v>265</v>
      </c>
    </row>
    <row r="171" spans="1:16" x14ac:dyDescent="0.2">
      <c r="A171" s="1" t="s">
        <v>297</v>
      </c>
      <c r="M171" s="1" t="s">
        <v>284</v>
      </c>
      <c r="N171" s="84">
        <f>J161</f>
        <v>135000</v>
      </c>
    </row>
    <row r="172" spans="1:16" x14ac:dyDescent="0.2">
      <c r="A172" s="1" t="s">
        <v>298</v>
      </c>
      <c r="M172" s="1" t="s">
        <v>285</v>
      </c>
      <c r="N172" s="84">
        <f>J162</f>
        <v>180000</v>
      </c>
    </row>
    <row r="173" spans="1:16" x14ac:dyDescent="0.2">
      <c r="A173" s="1" t="s">
        <v>299</v>
      </c>
      <c r="M173" s="1" t="s">
        <v>286</v>
      </c>
      <c r="N173" s="84">
        <f>J163</f>
        <v>225000</v>
      </c>
    </row>
    <row r="174" spans="1:16" x14ac:dyDescent="0.2">
      <c r="A174" s="1" t="s">
        <v>300</v>
      </c>
      <c r="I174" s="1" t="s">
        <v>309</v>
      </c>
      <c r="N174" s="85">
        <f>SUM(N171:N173)</f>
        <v>540000</v>
      </c>
    </row>
    <row r="175" spans="1:16" x14ac:dyDescent="0.2">
      <c r="A175" s="1" t="s">
        <v>301</v>
      </c>
      <c r="M175" s="87"/>
    </row>
    <row r="176" spans="1:16" x14ac:dyDescent="0.2">
      <c r="I176" s="1" t="s">
        <v>310</v>
      </c>
      <c r="N176" s="84">
        <f>J169</f>
        <v>650000</v>
      </c>
    </row>
    <row r="177" spans="9:14" x14ac:dyDescent="0.2">
      <c r="I177" s="1" t="s">
        <v>311</v>
      </c>
      <c r="K177" s="6"/>
      <c r="L177" s="6"/>
      <c r="N177" s="87">
        <v>0</v>
      </c>
    </row>
    <row r="178" spans="9:14" x14ac:dyDescent="0.2">
      <c r="N178" s="87"/>
    </row>
    <row r="179" spans="9:14" x14ac:dyDescent="0.2">
      <c r="I179" s="1" t="s">
        <v>295</v>
      </c>
      <c r="J179" s="6"/>
      <c r="K179" s="6"/>
      <c r="L179" s="6"/>
      <c r="N179" s="84">
        <f>ABS(+C161+E161+C162+E162+C163+E163)*9/10</f>
        <v>351000</v>
      </c>
    </row>
    <row r="180" spans="9:14" x14ac:dyDescent="0.2">
      <c r="K180" s="6"/>
    </row>
    <row r="181" spans="9:14" x14ac:dyDescent="0.2">
      <c r="I181" s="1" t="s">
        <v>312</v>
      </c>
      <c r="K181" s="6"/>
      <c r="L181" s="6"/>
    </row>
    <row r="183" spans="9:14" x14ac:dyDescent="0.2">
      <c r="I183" s="1" t="s">
        <v>302</v>
      </c>
      <c r="K183" s="6"/>
    </row>
    <row r="184" spans="9:14" x14ac:dyDescent="0.2">
      <c r="I184" s="1" t="s">
        <v>303</v>
      </c>
      <c r="K184" s="6"/>
    </row>
    <row r="185" spans="9:14" x14ac:dyDescent="0.2">
      <c r="I185" s="1" t="s">
        <v>304</v>
      </c>
    </row>
  </sheetData>
  <pageMargins left="0.7" right="0.7" top="0.75" bottom="0.75" header="0.3" footer="0.3"/>
  <pageSetup paperSize="9" orientation="portrait" horizontalDpi="300" verticalDpi="300" r:id="rId1"/>
  <ignoredErrors>
    <ignoredError sqref="E161:E163" formula="1"/>
  </ignoredError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7</vt:lpstr>
      <vt:lpstr>8</vt:lpstr>
      <vt:lpstr>9</vt:lpstr>
      <vt:lpstr>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ורד פראג'</dc:creator>
  <cp:lastModifiedBy>Shay Tsaban</cp:lastModifiedBy>
  <dcterms:created xsi:type="dcterms:W3CDTF">2024-11-17T18:05:22Z</dcterms:created>
  <dcterms:modified xsi:type="dcterms:W3CDTF">2025-06-12T12:11:10Z</dcterms:modified>
</cp:coreProperties>
</file>